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rnpoc\Downloads\"/>
    </mc:Choice>
  </mc:AlternateContent>
  <xr:revisionPtr revIDLastSave="0" documentId="13_ncr:1_{9DB05818-1275-4048-9E0E-174E3760C852}" xr6:coauthVersionLast="47" xr6:coauthVersionMax="47" xr10:uidLastSave="{00000000-0000-0000-0000-000000000000}"/>
  <workbookProtection workbookPassword="DCAC" lockStructure="1"/>
  <bookViews>
    <workbookView xWindow="22932" yWindow="-108" windowWidth="23256" windowHeight="12576" tabRatio="799" xr2:uid="{00000000-000D-0000-FFFF-FFFF00000000}"/>
  </bookViews>
  <sheets>
    <sheet name="Datenblatt" sheetId="1" r:id="rId1"/>
    <sheet name="Investitionsplan" sheetId="3" r:id="rId2"/>
    <sheet name="AfA" sheetId="5" r:id="rId3"/>
    <sheet name="Finanzierungsplan" sheetId="4" r:id="rId4"/>
    <sheet name="Annuitätenplan" sheetId="6" r:id="rId5"/>
    <sheet name="Wirtschaftlichkeit" sheetId="7" r:id="rId6"/>
    <sheet name="Liquiditätsplan" sheetId="10" r:id="rId7"/>
    <sheet name="Quick Check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0" l="1"/>
  <c r="B25" i="11"/>
  <c r="D9" i="4"/>
  <c r="D13" i="4"/>
  <c r="G14" i="4"/>
  <c r="B23" i="11" l="1"/>
  <c r="B24" i="11"/>
  <c r="B22" i="11"/>
  <c r="B21" i="11"/>
  <c r="C11" i="7"/>
  <c r="D11" i="7" s="1"/>
  <c r="C18" i="11" l="1"/>
  <c r="C20" i="11"/>
  <c r="C19" i="11"/>
  <c r="G12" i="11" l="1"/>
  <c r="F12" i="11"/>
  <c r="E12" i="11"/>
  <c r="D12" i="11"/>
  <c r="C13" i="11"/>
  <c r="C12" i="11"/>
  <c r="C15" i="11" l="1"/>
  <c r="G3" i="11"/>
  <c r="B9" i="11"/>
  <c r="B10" i="11"/>
  <c r="B8" i="11"/>
  <c r="C6" i="11" l="1"/>
  <c r="C6" i="7" s="1"/>
  <c r="C4" i="11"/>
  <c r="C3" i="11"/>
  <c r="G19" i="10"/>
  <c r="F19" i="10"/>
  <c r="E19" i="10"/>
  <c r="D19" i="10"/>
  <c r="C19" i="10"/>
  <c r="C21" i="11" s="1"/>
  <c r="D6" i="6" l="1"/>
  <c r="C6" i="10"/>
  <c r="B20" i="4" s="1"/>
  <c r="B17" i="5" s="1"/>
  <c r="D6" i="11"/>
  <c r="C11" i="11"/>
  <c r="G20" i="10"/>
  <c r="F20" i="10"/>
  <c r="E20" i="10"/>
  <c r="D20" i="10"/>
  <c r="C20" i="10"/>
  <c r="D38" i="10"/>
  <c r="D9" i="11" s="1"/>
  <c r="D28" i="10"/>
  <c r="E28" i="10"/>
  <c r="F28" i="10"/>
  <c r="G28" i="10"/>
  <c r="C28" i="10"/>
  <c r="D15" i="3"/>
  <c r="C25" i="10" s="1"/>
  <c r="D23" i="10"/>
  <c r="E23" i="10"/>
  <c r="E38" i="10" s="1"/>
  <c r="E9" i="11" s="1"/>
  <c r="F23" i="10"/>
  <c r="F38" i="10" s="1"/>
  <c r="F9" i="11" s="1"/>
  <c r="G23" i="10"/>
  <c r="G38" i="10" s="1"/>
  <c r="G9" i="11" s="1"/>
  <c r="C19" i="7"/>
  <c r="C15" i="10"/>
  <c r="C14" i="10"/>
  <c r="C13" i="10"/>
  <c r="E12" i="10"/>
  <c r="E11" i="10" s="1"/>
  <c r="F12" i="10"/>
  <c r="F11" i="10" s="1"/>
  <c r="G12" i="10"/>
  <c r="G11" i="10" s="1"/>
  <c r="D12" i="10"/>
  <c r="D11" i="10" s="1"/>
  <c r="D7" i="4"/>
  <c r="F7" i="10"/>
  <c r="D7" i="10"/>
  <c r="C7" i="10"/>
  <c r="E7" i="10"/>
  <c r="K13" i="7"/>
  <c r="I13" i="7"/>
  <c r="G13" i="7"/>
  <c r="E13" i="7"/>
  <c r="C13" i="7"/>
  <c r="C4" i="10"/>
  <c r="C3" i="10"/>
  <c r="C17" i="11" l="1"/>
  <c r="D17" i="4"/>
  <c r="C22" i="11"/>
  <c r="E16" i="10"/>
  <c r="D16" i="10"/>
  <c r="G16" i="10"/>
  <c r="E6" i="6"/>
  <c r="D6" i="10"/>
  <c r="B21" i="4" s="1"/>
  <c r="B18" i="5" s="1"/>
  <c r="E6" i="7"/>
  <c r="F16" i="10"/>
  <c r="E6" i="11"/>
  <c r="F6" i="6" s="1"/>
  <c r="D11" i="11"/>
  <c r="D8" i="3"/>
  <c r="C24" i="10" s="1"/>
  <c r="C23" i="10" s="1"/>
  <c r="C38" i="10" s="1"/>
  <c r="C9" i="11" s="1"/>
  <c r="L17" i="7"/>
  <c r="J17" i="7"/>
  <c r="H17" i="7"/>
  <c r="F17" i="7"/>
  <c r="D17" i="7"/>
  <c r="L10" i="7"/>
  <c r="L7" i="7"/>
  <c r="J10" i="7"/>
  <c r="J7" i="7"/>
  <c r="H10" i="7"/>
  <c r="H7" i="7"/>
  <c r="F10" i="7"/>
  <c r="F7" i="7"/>
  <c r="D10" i="7"/>
  <c r="D7" i="7"/>
  <c r="K11" i="7"/>
  <c r="I11" i="7"/>
  <c r="G11" i="7"/>
  <c r="E11" i="7"/>
  <c r="C15" i="7"/>
  <c r="K19" i="7"/>
  <c r="I19" i="7"/>
  <c r="G19" i="7"/>
  <c r="E19" i="7"/>
  <c r="D19" i="7"/>
  <c r="C4" i="7"/>
  <c r="C3" i="7"/>
  <c r="B26" i="6"/>
  <c r="B27" i="6" s="1"/>
  <c r="B17" i="6"/>
  <c r="B16" i="6"/>
  <c r="B15" i="6"/>
  <c r="C3" i="6"/>
  <c r="C4" i="6"/>
  <c r="C25" i="11" l="1"/>
  <c r="L19" i="7"/>
  <c r="J19" i="7"/>
  <c r="H19" i="7"/>
  <c r="F19" i="7"/>
  <c r="E6" i="10"/>
  <c r="B22" i="4" s="1"/>
  <c r="B19" i="5" s="1"/>
  <c r="G6" i="7"/>
  <c r="L11" i="7"/>
  <c r="G15" i="11" s="1"/>
  <c r="G13" i="11"/>
  <c r="J11" i="7"/>
  <c r="F15" i="11" s="1"/>
  <c r="F13" i="11"/>
  <c r="H11" i="7"/>
  <c r="E15" i="11" s="1"/>
  <c r="E13" i="11"/>
  <c r="E15" i="7"/>
  <c r="F15" i="7" s="1"/>
  <c r="D13" i="11"/>
  <c r="F6" i="11"/>
  <c r="G6" i="6" s="1"/>
  <c r="E11" i="11"/>
  <c r="K15" i="7"/>
  <c r="G15" i="7"/>
  <c r="I15" i="7"/>
  <c r="F11" i="7"/>
  <c r="D15" i="11" s="1"/>
  <c r="D15" i="7"/>
  <c r="E20" i="4"/>
  <c r="D23" i="6" s="1"/>
  <c r="D21" i="4"/>
  <c r="G16" i="4"/>
  <c r="G15" i="4"/>
  <c r="G12" i="4"/>
  <c r="G11" i="4"/>
  <c r="G10" i="4"/>
  <c r="F6" i="10" l="1"/>
  <c r="B23" i="4" s="1"/>
  <c r="B20" i="5" s="1"/>
  <c r="I6" i="7"/>
  <c r="G6" i="11"/>
  <c r="F11" i="11"/>
  <c r="D25" i="6"/>
  <c r="D28" i="6" s="1"/>
  <c r="E25" i="6"/>
  <c r="F25" i="6"/>
  <c r="G25" i="6"/>
  <c r="H25" i="6"/>
  <c r="H15" i="7"/>
  <c r="L15" i="7"/>
  <c r="J15" i="7"/>
  <c r="E27" i="6"/>
  <c r="F27" i="6"/>
  <c r="G27" i="6"/>
  <c r="D27" i="6"/>
  <c r="H27" i="6"/>
  <c r="D8" i="6"/>
  <c r="C12" i="10" s="1"/>
  <c r="C11" i="10" s="1"/>
  <c r="G7" i="4"/>
  <c r="E15" i="6"/>
  <c r="F15" i="6"/>
  <c r="G15" i="6"/>
  <c r="H15" i="6"/>
  <c r="D15" i="6"/>
  <c r="F17" i="6"/>
  <c r="G17" i="6"/>
  <c r="H17" i="6"/>
  <c r="E17" i="6"/>
  <c r="D17" i="6"/>
  <c r="F16" i="6"/>
  <c r="G16" i="6"/>
  <c r="E16" i="6"/>
  <c r="H16" i="6"/>
  <c r="D16" i="6"/>
  <c r="D24" i="4"/>
  <c r="D20" i="4"/>
  <c r="F20" i="4" s="1"/>
  <c r="D23" i="4"/>
  <c r="D22" i="4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7" i="5"/>
  <c r="F7" i="5" s="1"/>
  <c r="B12" i="5"/>
  <c r="B13" i="5"/>
  <c r="B14" i="5"/>
  <c r="B11" i="5"/>
  <c r="C4" i="5"/>
  <c r="C3" i="5"/>
  <c r="C4" i="4"/>
  <c r="C3" i="4"/>
  <c r="D18" i="3"/>
  <c r="D8" i="5"/>
  <c r="D15" i="5" l="1"/>
  <c r="K6" i="7"/>
  <c r="H6" i="6"/>
  <c r="G11" i="11"/>
  <c r="G6" i="10"/>
  <c r="B24" i="4" s="1"/>
  <c r="B21" i="5" s="1"/>
  <c r="G20" i="4"/>
  <c r="E21" i="4" s="1"/>
  <c r="D22" i="6"/>
  <c r="C16" i="10"/>
  <c r="F15" i="5"/>
  <c r="D18" i="6"/>
  <c r="D11" i="6"/>
  <c r="C29" i="10" s="1"/>
  <c r="D12" i="6"/>
  <c r="G18" i="6"/>
  <c r="H18" i="6"/>
  <c r="F18" i="6"/>
  <c r="E18" i="6"/>
  <c r="D24" i="3"/>
  <c r="E24" i="3" s="1"/>
  <c r="E8" i="6" l="1"/>
  <c r="E11" i="6" s="1"/>
  <c r="D29" i="10" s="1"/>
  <c r="C29" i="11"/>
  <c r="C31" i="10"/>
  <c r="C31" i="7"/>
  <c r="C33" i="7" s="1"/>
  <c r="D33" i="7" s="1"/>
  <c r="C30" i="10"/>
  <c r="D21" i="6"/>
  <c r="F21" i="4"/>
  <c r="E23" i="6"/>
  <c r="G18" i="7"/>
  <c r="E18" i="7"/>
  <c r="C18" i="7"/>
  <c r="K18" i="7"/>
  <c r="I18" i="7"/>
  <c r="D17" i="5"/>
  <c r="D18" i="5" s="1"/>
  <c r="D19" i="5" s="1"/>
  <c r="D20" i="5" s="1"/>
  <c r="D21" i="5" s="1"/>
  <c r="E12" i="3"/>
  <c r="E19" i="3"/>
  <c r="E11" i="3"/>
  <c r="E8" i="3"/>
  <c r="E17" i="3"/>
  <c r="E18" i="3"/>
  <c r="E23" i="3"/>
  <c r="E16" i="3"/>
  <c r="E14" i="3"/>
  <c r="E22" i="3"/>
  <c r="E15" i="3"/>
  <c r="E13" i="3"/>
  <c r="E21" i="3"/>
  <c r="E7" i="3"/>
  <c r="E9" i="3"/>
  <c r="E10" i="3"/>
  <c r="E20" i="3"/>
  <c r="E12" i="6" l="1"/>
  <c r="C23" i="11"/>
  <c r="C27" i="10"/>
  <c r="C39" i="10" s="1"/>
  <c r="C10" i="11" s="1"/>
  <c r="E28" i="6"/>
  <c r="E31" i="7" s="1"/>
  <c r="G21" i="4"/>
  <c r="E22" i="4" s="1"/>
  <c r="E22" i="6"/>
  <c r="D30" i="10" s="1"/>
  <c r="J18" i="7"/>
  <c r="I25" i="7"/>
  <c r="L18" i="7"/>
  <c r="K25" i="7"/>
  <c r="C25" i="7"/>
  <c r="C27" i="7" s="1"/>
  <c r="C35" i="7" s="1"/>
  <c r="C37" i="7" s="1"/>
  <c r="D18" i="7"/>
  <c r="F18" i="7"/>
  <c r="E25" i="7"/>
  <c r="H18" i="7"/>
  <c r="G25" i="7"/>
  <c r="C4" i="3"/>
  <c r="C3" i="3"/>
  <c r="C39" i="7" l="1"/>
  <c r="D39" i="7" s="1"/>
  <c r="C21" i="10"/>
  <c r="C18" i="10" s="1"/>
  <c r="C37" i="10" s="1"/>
  <c r="C27" i="11" s="1"/>
  <c r="F8" i="6"/>
  <c r="D29" i="11"/>
  <c r="D25" i="7"/>
  <c r="E21" i="6"/>
  <c r="D31" i="10"/>
  <c r="E33" i="7"/>
  <c r="F33" i="7" s="1"/>
  <c r="F22" i="4"/>
  <c r="F23" i="6"/>
  <c r="F28" i="6" s="1"/>
  <c r="G31" i="7" s="1"/>
  <c r="L25" i="7"/>
  <c r="K27" i="7"/>
  <c r="L27" i="7" s="1"/>
  <c r="F25" i="7"/>
  <c r="E27" i="7"/>
  <c r="J25" i="7"/>
  <c r="I27" i="7"/>
  <c r="J27" i="7" s="1"/>
  <c r="H25" i="7"/>
  <c r="G27" i="7"/>
  <c r="H27" i="7" s="1"/>
  <c r="D27" i="7"/>
  <c r="C28" i="11" l="1"/>
  <c r="D27" i="10"/>
  <c r="C32" i="10"/>
  <c r="C34" i="10" s="1"/>
  <c r="C36" i="10" s="1"/>
  <c r="F11" i="6"/>
  <c r="E29" i="10" s="1"/>
  <c r="F12" i="6"/>
  <c r="C8" i="11"/>
  <c r="D35" i="7"/>
  <c r="C14" i="11"/>
  <c r="E31" i="10"/>
  <c r="G33" i="7"/>
  <c r="H33" i="7" s="1"/>
  <c r="G22" i="4"/>
  <c r="E23" i="4" s="1"/>
  <c r="F22" i="6"/>
  <c r="F27" i="7"/>
  <c r="E35" i="7"/>
  <c r="D39" i="10" l="1"/>
  <c r="D10" i="11" s="1"/>
  <c r="E37" i="7"/>
  <c r="D21" i="10" s="1"/>
  <c r="D18" i="10" s="1"/>
  <c r="D37" i="10" s="1"/>
  <c r="F35" i="7"/>
  <c r="D28" i="11"/>
  <c r="D32" i="10"/>
  <c r="D34" i="10" s="1"/>
  <c r="D36" i="10" s="1"/>
  <c r="G8" i="6"/>
  <c r="E29" i="11"/>
  <c r="C35" i="10"/>
  <c r="C7" i="11" s="1"/>
  <c r="D14" i="11"/>
  <c r="E30" i="10"/>
  <c r="E27" i="10" s="1"/>
  <c r="F21" i="6"/>
  <c r="F23" i="4"/>
  <c r="G23" i="6"/>
  <c r="G28" i="6" s="1"/>
  <c r="I31" i="7" s="1"/>
  <c r="G35" i="7"/>
  <c r="D8" i="11" l="1"/>
  <c r="D27" i="11"/>
  <c r="G37" i="7"/>
  <c r="E39" i="7"/>
  <c r="F39" i="7" s="1"/>
  <c r="F37" i="7"/>
  <c r="E28" i="11"/>
  <c r="G11" i="6"/>
  <c r="F29" i="10" s="1"/>
  <c r="G12" i="6"/>
  <c r="D35" i="10"/>
  <c r="D7" i="11" s="1"/>
  <c r="H35" i="7"/>
  <c r="E14" i="11"/>
  <c r="G23" i="4"/>
  <c r="E24" i="4" s="1"/>
  <c r="G22" i="6"/>
  <c r="E39" i="10"/>
  <c r="E10" i="11" s="1"/>
  <c r="F31" i="10"/>
  <c r="I33" i="7"/>
  <c r="H37" i="7" l="1"/>
  <c r="E21" i="10"/>
  <c r="E18" i="10" s="1"/>
  <c r="G39" i="7"/>
  <c r="H39" i="7" s="1"/>
  <c r="H8" i="6"/>
  <c r="F29" i="11"/>
  <c r="J33" i="7"/>
  <c r="I35" i="7"/>
  <c r="I37" i="7" s="1"/>
  <c r="F21" i="10" s="1"/>
  <c r="F18" i="10" s="1"/>
  <c r="F37" i="10" s="1"/>
  <c r="F30" i="10"/>
  <c r="F27" i="10" s="1"/>
  <c r="G21" i="6"/>
  <c r="F24" i="4"/>
  <c r="H23" i="6"/>
  <c r="E37" i="10" l="1"/>
  <c r="E32" i="10"/>
  <c r="E34" i="10" s="1"/>
  <c r="F27" i="11"/>
  <c r="F8" i="11"/>
  <c r="I39" i="7"/>
  <c r="J39" i="7" s="1"/>
  <c r="J37" i="7"/>
  <c r="F28" i="11"/>
  <c r="H11" i="6"/>
  <c r="G29" i="10" s="1"/>
  <c r="H12" i="6"/>
  <c r="G29" i="11" s="1"/>
  <c r="H18" i="11" s="1"/>
  <c r="J35" i="7"/>
  <c r="F14" i="11"/>
  <c r="H28" i="6"/>
  <c r="K31" i="7" s="1"/>
  <c r="G24" i="4"/>
  <c r="H22" i="6"/>
  <c r="G30" i="10" s="1"/>
  <c r="F39" i="10"/>
  <c r="F10" i="11" s="1"/>
  <c r="F32" i="10"/>
  <c r="F34" i="10" s="1"/>
  <c r="E35" i="10" l="1"/>
  <c r="E7" i="11" s="1"/>
  <c r="E36" i="10"/>
  <c r="E8" i="11"/>
  <c r="E27" i="11"/>
  <c r="F36" i="10"/>
  <c r="H21" i="6"/>
  <c r="F35" i="10"/>
  <c r="F7" i="11" s="1"/>
  <c r="G31" i="10"/>
  <c r="K33" i="7"/>
  <c r="G27" i="10" l="1"/>
  <c r="G39" i="10" s="1"/>
  <c r="G10" i="11" s="1"/>
  <c r="C24" i="11"/>
  <c r="K35" i="7"/>
  <c r="K37" i="7" s="1"/>
  <c r="G21" i="10" s="1"/>
  <c r="G18" i="10" s="1"/>
  <c r="G37" i="10" s="1"/>
  <c r="L33" i="7"/>
  <c r="G27" i="11" l="1"/>
  <c r="H16" i="11" s="1"/>
  <c r="G8" i="11"/>
  <c r="K39" i="7"/>
  <c r="L39" i="7" s="1"/>
  <c r="L37" i="7"/>
  <c r="G28" i="11"/>
  <c r="H17" i="11" s="1"/>
  <c r="G32" i="10"/>
  <c r="G34" i="10" s="1"/>
  <c r="G35" i="10" s="1"/>
  <c r="G7" i="11" s="1"/>
  <c r="L35" i="7"/>
  <c r="G14" i="11"/>
  <c r="G36" i="10" l="1"/>
</calcChain>
</file>

<file path=xl/sharedStrings.xml><?xml version="1.0" encoding="utf-8"?>
<sst xmlns="http://schemas.openxmlformats.org/spreadsheetml/2006/main" count="250" uniqueCount="163">
  <si>
    <t>1.</t>
  </si>
  <si>
    <t>Datenblatt</t>
  </si>
  <si>
    <t>Firma:</t>
  </si>
  <si>
    <t>Ort:</t>
  </si>
  <si>
    <t>GRUNDDATEN</t>
  </si>
  <si>
    <t>1.1</t>
  </si>
  <si>
    <t>Anzahl Gründungsmitglieder</t>
  </si>
  <si>
    <t>Höhe des Geschäftsanteils</t>
  </si>
  <si>
    <t>1.2</t>
  </si>
  <si>
    <t>1.3</t>
  </si>
  <si>
    <t>1.4</t>
  </si>
  <si>
    <t>Kündigungsfrist von Geschäftsanteilen</t>
  </si>
  <si>
    <t>Höhe der Rücklage (lt. Satzung)</t>
  </si>
  <si>
    <t>1.5</t>
  </si>
  <si>
    <t>Anz.</t>
  </si>
  <si>
    <t>Euro</t>
  </si>
  <si>
    <t>in Monate</t>
  </si>
  <si>
    <t>in %</t>
  </si>
  <si>
    <t>Bemerkungen</t>
  </si>
  <si>
    <t>2.</t>
  </si>
  <si>
    <t>Investitionsplan</t>
  </si>
  <si>
    <t>Immaterielle Vermögensgegenstände</t>
  </si>
  <si>
    <t>Sachanlagen</t>
  </si>
  <si>
    <t>1.2.1</t>
  </si>
  <si>
    <t>Anlagen und Maschinen</t>
  </si>
  <si>
    <t>1.2.2</t>
  </si>
  <si>
    <t>andere Anlagen,  Betriebs- u. Geschäftsausstattung</t>
  </si>
  <si>
    <t>1.2.3</t>
  </si>
  <si>
    <t>1.2.4</t>
  </si>
  <si>
    <t>1.2.5</t>
  </si>
  <si>
    <t>1.2.6</t>
  </si>
  <si>
    <t>Finanzanlagen</t>
  </si>
  <si>
    <t>1.3.1</t>
  </si>
  <si>
    <t>Wertrechte RRV NÖ-Wien</t>
  </si>
  <si>
    <t>1.3.2</t>
  </si>
  <si>
    <t>Umlaufvermögen</t>
  </si>
  <si>
    <t>1.4.1</t>
  </si>
  <si>
    <t>Vorräte</t>
  </si>
  <si>
    <t>1.4.2</t>
  </si>
  <si>
    <t>Roh-, Hilfs- und Betriebsstoffe</t>
  </si>
  <si>
    <t>1.4.3</t>
  </si>
  <si>
    <t>1.4.4</t>
  </si>
  <si>
    <t>1.4.5</t>
  </si>
  <si>
    <t>INVESTITIONEN</t>
  </si>
  <si>
    <t>GESAMTSUMME INVESTITIONEN</t>
  </si>
  <si>
    <t>in Euro</t>
  </si>
  <si>
    <t>%</t>
  </si>
  <si>
    <t>3.</t>
  </si>
  <si>
    <t>Finanzierungsplan</t>
  </si>
  <si>
    <t>FINANZIERUNGEN</t>
  </si>
  <si>
    <t>Gesamtnennbetrag der Geschäftsanteile</t>
  </si>
  <si>
    <t>GESAMTSUMME FINANZIERUNGEN</t>
  </si>
  <si>
    <t>Alternative Finanzinstrumente</t>
  </si>
  <si>
    <t>Nachrangdarlehen</t>
  </si>
  <si>
    <t>Fremdkapital</t>
  </si>
  <si>
    <t>AfA</t>
  </si>
  <si>
    <t>ABSCHREIBUNGEN</t>
  </si>
  <si>
    <t>Nutzungs-dauer 
[in Jahre]</t>
  </si>
  <si>
    <t>Afa
in Euro p.a.</t>
  </si>
  <si>
    <t>SUMME</t>
  </si>
  <si>
    <t>Investitionskredit (Annuität)</t>
  </si>
  <si>
    <t>4.</t>
  </si>
  <si>
    <t>5.</t>
  </si>
  <si>
    <t>6.</t>
  </si>
  <si>
    <t>Anzahl Geschäftsanteile</t>
  </si>
  <si>
    <t>Zins 
in % p.a.</t>
  </si>
  <si>
    <t>Zins p.a.</t>
  </si>
  <si>
    <t>Laufzeit in Jahren</t>
  </si>
  <si>
    <t>Investitionskredit (endfällig)</t>
  </si>
  <si>
    <t>1.3.3</t>
  </si>
  <si>
    <t xml:space="preserve">2. </t>
  </si>
  <si>
    <t>Tilgungsplan</t>
  </si>
  <si>
    <t>Zinszahlung</t>
  </si>
  <si>
    <t>Tilgung</t>
  </si>
  <si>
    <t>Restschuld</t>
  </si>
  <si>
    <t>Annuität</t>
  </si>
  <si>
    <t>Erläuterungen:</t>
  </si>
  <si>
    <t>nur positive Zahlen eingeben</t>
  </si>
  <si>
    <t>Annuitätenplan</t>
  </si>
  <si>
    <t>Anfangskapital</t>
  </si>
  <si>
    <t>Zugang von Geschäftsanteilskapital</t>
  </si>
  <si>
    <t>Abgang von Geschäftsanteilskapital</t>
  </si>
  <si>
    <t>Verzinsung Geschäftsanteilskapital</t>
  </si>
  <si>
    <t>2.1</t>
  </si>
  <si>
    <t>2.2</t>
  </si>
  <si>
    <t>2.3</t>
  </si>
  <si>
    <t>Summe Zinsendienst</t>
  </si>
  <si>
    <t>3.1</t>
  </si>
  <si>
    <t>3.1.1</t>
  </si>
  <si>
    <t>3.1.2</t>
  </si>
  <si>
    <t>Zinsen</t>
  </si>
  <si>
    <t>3.2</t>
  </si>
  <si>
    <t>3.2.1</t>
  </si>
  <si>
    <t>3.3</t>
  </si>
  <si>
    <t>3.3.1</t>
  </si>
  <si>
    <t>Wirtschaftlichkeitsrechnung</t>
  </si>
  <si>
    <t>Umsatzerlöse</t>
  </si>
  <si>
    <t>Sonstige Erlöse</t>
  </si>
  <si>
    <t>Materialaufwand / bezogene Leistungen</t>
  </si>
  <si>
    <t>Rohertrag</t>
  </si>
  <si>
    <t>Sonstige betriebliche Erträge</t>
  </si>
  <si>
    <t>Betriebserträge</t>
  </si>
  <si>
    <t>Personalaufwand</t>
  </si>
  <si>
    <t>Abschreibungen</t>
  </si>
  <si>
    <t>Sonstige Aufwendungen</t>
  </si>
  <si>
    <t>Verbandsbeitrag</t>
  </si>
  <si>
    <t>Revisionskosten</t>
  </si>
  <si>
    <t>Betriebsaufwendungen</t>
  </si>
  <si>
    <t>Finanzerträge</t>
  </si>
  <si>
    <t>ÜBERSCHUSS / FEHLBETRAG</t>
  </si>
  <si>
    <t>BETRIEBSERGEBNIS</t>
  </si>
  <si>
    <t>FINANZERGEBNIS</t>
  </si>
  <si>
    <t>Finanzaufwendungen (Zinsen)</t>
  </si>
  <si>
    <t>7.</t>
  </si>
  <si>
    <t>Liquiditätsplan</t>
  </si>
  <si>
    <t>Auflösung Investitionszuschüsse</t>
  </si>
  <si>
    <t>Einzahlungen aus Desinvestitionen</t>
  </si>
  <si>
    <t>Einzahlungen aus Finanzierungstätigkeit</t>
  </si>
  <si>
    <t>Geschäftsanteile</t>
  </si>
  <si>
    <t>Investitionszuschüsse (nicht-rückzahlbar)</t>
  </si>
  <si>
    <t>Investitionszuschüsse</t>
  </si>
  <si>
    <t>SUMME EINZAHLUNGEN</t>
  </si>
  <si>
    <t>Personal</t>
  </si>
  <si>
    <t>Auszahlungen aus Investitionstätigkeit</t>
  </si>
  <si>
    <t>Sachanlagen und Immaterielle Vermögensgegenstände</t>
  </si>
  <si>
    <t>Auszahlungen aus Finanzierungstätigkeit</t>
  </si>
  <si>
    <t>Rückzahlungen Geschäftsanteilskapital</t>
  </si>
  <si>
    <t>Bedienung Geschäftsanteilskapital</t>
  </si>
  <si>
    <t>Tilgung Fremdkapital</t>
  </si>
  <si>
    <t>Zinsen (Fremdkapital &amp; alternative Finanzinstrumente)</t>
  </si>
  <si>
    <t>SUMME AUSZAHLUNGEN</t>
  </si>
  <si>
    <t>ÜBERSCHUSS / FEHLBETRAG KUMULIERT</t>
  </si>
  <si>
    <t>Einzahlungen aus betrieblicher Tätigkeit</t>
  </si>
  <si>
    <t>Auszahlungen aus betrieblicher Tätigkeit</t>
  </si>
  <si>
    <t>Geschäftsguthaben bei (Genossenschafts-)Banken</t>
  </si>
  <si>
    <t>8.</t>
  </si>
  <si>
    <t>Liquiditätsentwicklung</t>
  </si>
  <si>
    <t>Geldfluss aus betrieblicher Tätigkeit</t>
  </si>
  <si>
    <t>Geldfluss aus Investitionstätigkeit</t>
  </si>
  <si>
    <t>Geldfluss aus Finanzierungstätigkeit</t>
  </si>
  <si>
    <t>Rohertrag-Spanne</t>
  </si>
  <si>
    <t>Kredite</t>
  </si>
  <si>
    <t>Geschäftsanteilskapital</t>
  </si>
  <si>
    <t>Alternative Finanzierungen</t>
  </si>
  <si>
    <t>Material / bezogene Leistungen</t>
  </si>
  <si>
    <t>Ø Cash Flow/Umsatzerlöse</t>
  </si>
  <si>
    <t>Ø Gesamtkapitalrentabilität</t>
  </si>
  <si>
    <t>Ø Verschuldungsgrad</t>
  </si>
  <si>
    <t>Kühlcontainer 2x</t>
  </si>
  <si>
    <t>Sonstige BGA</t>
  </si>
  <si>
    <t>Betriebsmittelkredit</t>
  </si>
  <si>
    <t>Muster eGen</t>
  </si>
  <si>
    <t>PLZ Ort, Straße Nr.</t>
  </si>
  <si>
    <t>Kapital am Jahresende</t>
  </si>
  <si>
    <t>(Annuität)</t>
  </si>
  <si>
    <t>ERGEBNIS vor Steuern</t>
  </si>
  <si>
    <t>ERGEBNIS nach Steuern</t>
  </si>
  <si>
    <t>Steuern vom Einkommen und vom Ertrag</t>
  </si>
  <si>
    <t>Ergebnis vor Steuern</t>
  </si>
  <si>
    <t>Sonstige Aufwendungen &amp; Steuern</t>
  </si>
  <si>
    <t>BERATUNG UND KONTAKT</t>
  </si>
  <si>
    <t>hellgrüne Felder sind Eingabefelder</t>
  </si>
  <si>
    <t>Quick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</si>
</sst>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\-&quot;€&quot;\ #,##0"/>
    <numFmt numFmtId="164" formatCode="0.0%"/>
    <numFmt numFmtId="165" formatCode="#,##0.00_ ;[Red]\-#,##0.00\ "/>
    <numFmt numFmtId="166" formatCode="&quot;€&quot;\ #,##0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00336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458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0" xfId="0" applyFont="1"/>
    <xf numFmtId="0" fontId="1" fillId="0" borderId="0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Border="1"/>
    <xf numFmtId="49" fontId="0" fillId="0" borderId="9" xfId="0" applyNumberFormat="1" applyFont="1" applyBorder="1"/>
    <xf numFmtId="0" fontId="0" fillId="0" borderId="0" xfId="0" applyFont="1" applyBorder="1"/>
    <xf numFmtId="0" fontId="3" fillId="0" borderId="0" xfId="0" applyFont="1" applyBorder="1" applyAlignment="1">
      <alignment horizontal="center"/>
    </xf>
    <xf numFmtId="3" fontId="0" fillId="0" borderId="0" xfId="0" applyNumberFormat="1" applyBorder="1"/>
    <xf numFmtId="0" fontId="1" fillId="0" borderId="12" xfId="0" applyFont="1" applyBorder="1"/>
    <xf numFmtId="0" fontId="0" fillId="0" borderId="13" xfId="0" applyBorder="1"/>
    <xf numFmtId="0" fontId="0" fillId="0" borderId="13" xfId="0" applyFont="1" applyBorder="1"/>
    <xf numFmtId="49" fontId="5" fillId="0" borderId="9" xfId="0" applyNumberFormat="1" applyFont="1" applyBorder="1"/>
    <xf numFmtId="0" fontId="5" fillId="0" borderId="0" xfId="0" applyFont="1" applyBorder="1"/>
    <xf numFmtId="49" fontId="0" fillId="0" borderId="0" xfId="0" applyNumberFormat="1"/>
    <xf numFmtId="49" fontId="1" fillId="0" borderId="8" xfId="0" applyNumberFormat="1" applyFont="1" applyBorder="1"/>
    <xf numFmtId="49" fontId="0" fillId="0" borderId="9" xfId="0" applyNumberFormat="1" applyBorder="1"/>
    <xf numFmtId="49" fontId="0" fillId="0" borderId="15" xfId="0" applyNumberFormat="1" applyBorder="1"/>
    <xf numFmtId="0" fontId="0" fillId="0" borderId="16" xfId="0" applyBorder="1"/>
    <xf numFmtId="0" fontId="0" fillId="0" borderId="17" xfId="0" applyBorder="1"/>
    <xf numFmtId="49" fontId="0" fillId="0" borderId="8" xfId="0" applyNumberFormat="1" applyBorder="1"/>
    <xf numFmtId="0" fontId="0" fillId="0" borderId="2" xfId="0" applyBorder="1"/>
    <xf numFmtId="0" fontId="0" fillId="0" borderId="12" xfId="0" applyBorder="1"/>
    <xf numFmtId="0" fontId="0" fillId="0" borderId="0" xfId="0" applyFill="1" applyBorder="1"/>
    <xf numFmtId="0" fontId="8" fillId="0" borderId="0" xfId="0" applyFont="1" applyBorder="1" applyAlignment="1">
      <alignment horizontal="center"/>
    </xf>
    <xf numFmtId="4" fontId="5" fillId="0" borderId="0" xfId="0" applyNumberFormat="1" applyFont="1" applyBorder="1"/>
    <xf numFmtId="4" fontId="5" fillId="0" borderId="0" xfId="0" applyNumberFormat="1" applyFont="1" applyFill="1" applyBorder="1" applyAlignment="1" applyProtection="1"/>
    <xf numFmtId="164" fontId="7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3" fontId="0" fillId="0" borderId="0" xfId="0" applyNumberForma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5" fillId="0" borderId="0" xfId="0" applyNumberFormat="1" applyFont="1" applyFill="1" applyBorder="1"/>
    <xf numFmtId="3" fontId="0" fillId="0" borderId="0" xfId="0" applyNumberFormat="1" applyFill="1" applyBorder="1" applyProtection="1"/>
    <xf numFmtId="4" fontId="0" fillId="0" borderId="0" xfId="0" applyNumberFormat="1" applyFont="1" applyFill="1" applyBorder="1" applyAlignment="1" applyProtection="1"/>
    <xf numFmtId="4" fontId="7" fillId="0" borderId="0" xfId="1" applyNumberFormat="1" applyFon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/>
    <xf numFmtId="4" fontId="7" fillId="0" borderId="0" xfId="1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/>
    <xf numFmtId="0" fontId="0" fillId="0" borderId="0" xfId="0" applyFill="1" applyBorder="1" applyAlignment="1" applyProtection="1"/>
    <xf numFmtId="49" fontId="0" fillId="0" borderId="0" xfId="0" applyNumberFormat="1" applyBorder="1"/>
    <xf numFmtId="49" fontId="1" fillId="0" borderId="0" xfId="0" applyNumberFormat="1" applyFont="1" applyBorder="1"/>
    <xf numFmtId="4" fontId="1" fillId="0" borderId="0" xfId="0" applyNumberFormat="1" applyFont="1" applyBorder="1"/>
    <xf numFmtId="4" fontId="6" fillId="0" borderId="0" xfId="1" applyNumberFormat="1" applyFont="1" applyBorder="1" applyAlignment="1">
      <alignment horizontal="right"/>
    </xf>
    <xf numFmtId="4" fontId="7" fillId="0" borderId="0" xfId="1" applyNumberFormat="1" applyFont="1" applyBorder="1" applyAlignment="1">
      <alignment horizontal="right"/>
    </xf>
    <xf numFmtId="4" fontId="5" fillId="0" borderId="0" xfId="0" applyNumberFormat="1" applyFont="1" applyFill="1" applyBorder="1" applyProtection="1"/>
    <xf numFmtId="164" fontId="7" fillId="0" borderId="0" xfId="1" applyNumberFormat="1" applyFont="1" applyFill="1" applyBorder="1" applyAlignment="1" applyProtection="1">
      <alignment horizontal="right"/>
    </xf>
    <xf numFmtId="4" fontId="0" fillId="0" borderId="0" xfId="0" applyNumberFormat="1" applyFill="1" applyBorder="1" applyProtection="1"/>
    <xf numFmtId="49" fontId="1" fillId="0" borderId="8" xfId="0" applyNumberFormat="1" applyFont="1" applyBorder="1" applyProtection="1"/>
    <xf numFmtId="0" fontId="1" fillId="0" borderId="2" xfId="0" applyFont="1" applyBorder="1" applyProtection="1"/>
    <xf numFmtId="49" fontId="0" fillId="0" borderId="15" xfId="0" applyNumberFormat="1" applyBorder="1" applyProtection="1"/>
    <xf numFmtId="0" fontId="0" fillId="0" borderId="16" xfId="0" applyBorder="1" applyProtection="1"/>
    <xf numFmtId="0" fontId="1" fillId="0" borderId="2" xfId="0" applyFont="1" applyBorder="1" applyAlignment="1" applyProtection="1">
      <alignment horizontal="center"/>
    </xf>
    <xf numFmtId="49" fontId="5" fillId="0" borderId="9" xfId="0" applyNumberFormat="1" applyFont="1" applyBorder="1" applyProtection="1"/>
    <xf numFmtId="0" fontId="5" fillId="0" borderId="0" xfId="0" applyFont="1" applyBorder="1" applyProtection="1"/>
    <xf numFmtId="0" fontId="8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49" fontId="0" fillId="0" borderId="9" xfId="0" applyNumberFormat="1" applyFont="1" applyBorder="1" applyProtection="1"/>
    <xf numFmtId="0" fontId="0" fillId="0" borderId="0" xfId="0" applyFont="1" applyFill="1" applyBorder="1" applyProtection="1"/>
    <xf numFmtId="49" fontId="5" fillId="0" borderId="9" xfId="0" applyNumberFormat="1" applyFont="1" applyFill="1" applyBorder="1" applyProtection="1"/>
    <xf numFmtId="3" fontId="5" fillId="0" borderId="0" xfId="0" applyNumberFormat="1" applyFont="1" applyFill="1" applyBorder="1" applyProtection="1"/>
    <xf numFmtId="0" fontId="0" fillId="0" borderId="0" xfId="0" applyBorder="1" applyProtection="1"/>
    <xf numFmtId="49" fontId="0" fillId="0" borderId="9" xfId="0" applyNumberFormat="1" applyBorder="1" applyProtection="1"/>
    <xf numFmtId="10" fontId="0" fillId="0" borderId="0" xfId="0" applyNumberFormat="1" applyFont="1" applyFill="1" applyBorder="1" applyAlignment="1" applyProtection="1"/>
    <xf numFmtId="4" fontId="0" fillId="0" borderId="16" xfId="0" applyNumberFormat="1" applyBorder="1" applyProtection="1"/>
    <xf numFmtId="4" fontId="6" fillId="0" borderId="0" xfId="1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/>
    <xf numFmtId="0" fontId="9" fillId="0" borderId="0" xfId="0" applyFont="1"/>
    <xf numFmtId="0" fontId="5" fillId="0" borderId="0" xfId="0" applyFont="1"/>
    <xf numFmtId="49" fontId="5" fillId="0" borderId="7" xfId="0" applyNumberFormat="1" applyFont="1" applyBorder="1" applyProtection="1"/>
    <xf numFmtId="0" fontId="5" fillId="0" borderId="3" xfId="0" applyFont="1" applyFill="1" applyBorder="1" applyProtection="1"/>
    <xf numFmtId="0" fontId="5" fillId="0" borderId="3" xfId="0" applyFont="1" applyBorder="1" applyProtection="1"/>
    <xf numFmtId="4" fontId="5" fillId="0" borderId="3" xfId="0" applyNumberFormat="1" applyFont="1" applyFill="1" applyBorder="1" applyProtection="1"/>
    <xf numFmtId="10" fontId="5" fillId="0" borderId="3" xfId="0" applyNumberFormat="1" applyFont="1" applyFill="1" applyBorder="1" applyProtection="1"/>
    <xf numFmtId="3" fontId="5" fillId="0" borderId="3" xfId="0" applyNumberFormat="1" applyFont="1" applyFill="1" applyBorder="1" applyProtection="1"/>
    <xf numFmtId="4" fontId="7" fillId="0" borderId="3" xfId="1" applyNumberFormat="1" applyFont="1" applyFill="1" applyBorder="1" applyAlignment="1" applyProtection="1">
      <alignment horizontal="right"/>
    </xf>
    <xf numFmtId="49" fontId="1" fillId="0" borderId="9" xfId="0" applyNumberFormat="1" applyFont="1" applyBorder="1" applyProtection="1"/>
    <xf numFmtId="0" fontId="1" fillId="0" borderId="12" xfId="0" applyFont="1" applyBorder="1" applyProtection="1"/>
    <xf numFmtId="0" fontId="0" fillId="0" borderId="17" xfId="0" applyBorder="1" applyProtection="1"/>
    <xf numFmtId="0" fontId="0" fillId="0" borderId="13" xfId="0" applyFont="1" applyBorder="1" applyProtection="1"/>
    <xf numFmtId="0" fontId="0" fillId="0" borderId="13" xfId="0" applyBorder="1" applyProtection="1"/>
    <xf numFmtId="0" fontId="0" fillId="0" borderId="11" xfId="0" applyBorder="1" applyProtection="1"/>
    <xf numFmtId="0" fontId="1" fillId="0" borderId="0" xfId="0" applyFont="1" applyBorder="1" applyProtection="1"/>
    <xf numFmtId="0" fontId="1" fillId="0" borderId="13" xfId="0" applyFont="1" applyBorder="1" applyProtection="1"/>
    <xf numFmtId="49" fontId="0" fillId="0" borderId="0" xfId="0" applyNumberFormat="1" applyProtection="1"/>
    <xf numFmtId="0" fontId="0" fillId="0" borderId="0" xfId="0" applyProtection="1"/>
    <xf numFmtId="0" fontId="10" fillId="0" borderId="0" xfId="0" applyFont="1"/>
    <xf numFmtId="0" fontId="11" fillId="0" borderId="0" xfId="0" applyFont="1"/>
    <xf numFmtId="0" fontId="1" fillId="0" borderId="2" xfId="0" applyFont="1" applyBorder="1" applyAlignment="1" applyProtection="1"/>
    <xf numFmtId="0" fontId="5" fillId="0" borderId="0" xfId="0" applyFont="1" applyFill="1" applyBorder="1" applyProtection="1"/>
    <xf numFmtId="0" fontId="3" fillId="0" borderId="2" xfId="0" applyFont="1" applyBorder="1" applyAlignment="1" applyProtection="1">
      <alignment horizontal="right"/>
    </xf>
    <xf numFmtId="0" fontId="0" fillId="0" borderId="0" xfId="0" applyFont="1" applyBorder="1" applyProtection="1"/>
    <xf numFmtId="0" fontId="10" fillId="0" borderId="0" xfId="0" applyFont="1" applyFill="1" applyBorder="1" applyAlignment="1" applyProtection="1">
      <alignment horizontal="center"/>
    </xf>
    <xf numFmtId="4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Fill="1" applyBorder="1" applyProtection="1"/>
    <xf numFmtId="4" fontId="0" fillId="0" borderId="3" xfId="0" applyNumberFormat="1" applyFill="1" applyBorder="1" applyAlignment="1" applyProtection="1"/>
    <xf numFmtId="4" fontId="0" fillId="0" borderId="0" xfId="0" applyNumberFormat="1" applyFill="1" applyBorder="1" applyAlignment="1" applyProtection="1"/>
    <xf numFmtId="49" fontId="10" fillId="0" borderId="9" xfId="0" applyNumberFormat="1" applyFont="1" applyBorder="1" applyProtection="1"/>
    <xf numFmtId="0" fontId="10" fillId="0" borderId="0" xfId="0" applyFont="1" applyFill="1" applyBorder="1" applyProtection="1"/>
    <xf numFmtId="4" fontId="10" fillId="0" borderId="0" xfId="0" applyNumberFormat="1" applyFont="1" applyFill="1" applyBorder="1" applyProtection="1"/>
    <xf numFmtId="0" fontId="10" fillId="0" borderId="0" xfId="0" applyFont="1" applyFill="1" applyBorder="1" applyAlignment="1" applyProtection="1"/>
    <xf numFmtId="0" fontId="10" fillId="0" borderId="13" xfId="0" applyFont="1" applyBorder="1" applyProtection="1"/>
    <xf numFmtId="3" fontId="10" fillId="0" borderId="0" xfId="0" applyNumberFormat="1" applyFont="1" applyFill="1" applyBorder="1" applyProtection="1"/>
    <xf numFmtId="4" fontId="10" fillId="0" borderId="0" xfId="0" applyNumberFormat="1" applyFont="1" applyFill="1" applyBorder="1" applyAlignment="1" applyProtection="1"/>
    <xf numFmtId="0" fontId="10" fillId="0" borderId="0" xfId="0" applyFont="1" applyBorder="1"/>
    <xf numFmtId="0" fontId="13" fillId="0" borderId="0" xfId="0" applyFont="1" applyFill="1" applyBorder="1" applyProtection="1"/>
    <xf numFmtId="0" fontId="10" fillId="0" borderId="0" xfId="0" applyFont="1" applyBorder="1" applyProtection="1"/>
    <xf numFmtId="4" fontId="10" fillId="0" borderId="0" xfId="0" applyNumberFormat="1" applyFont="1" applyBorder="1" applyProtection="1"/>
    <xf numFmtId="3" fontId="0" fillId="0" borderId="16" xfId="0" applyNumberFormat="1" applyFont="1" applyFill="1" applyBorder="1" applyProtection="1"/>
    <xf numFmtId="0" fontId="0" fillId="0" borderId="16" xfId="0" applyFill="1" applyBorder="1" applyAlignment="1" applyProtection="1"/>
    <xf numFmtId="0" fontId="14" fillId="0" borderId="0" xfId="0" applyFont="1" applyProtection="1"/>
    <xf numFmtId="49" fontId="14" fillId="0" borderId="0" xfId="0" applyNumberFormat="1" applyFont="1" applyProtection="1"/>
    <xf numFmtId="0" fontId="14" fillId="0" borderId="0" xfId="0" applyFont="1"/>
    <xf numFmtId="49" fontId="14" fillId="0" borderId="0" xfId="0" applyNumberFormat="1" applyFont="1"/>
    <xf numFmtId="0" fontId="0" fillId="0" borderId="0" xfId="0" applyBorder="1" applyAlignment="1">
      <alignment horizontal="right"/>
    </xf>
    <xf numFmtId="4" fontId="15" fillId="0" borderId="16" xfId="0" applyNumberFormat="1" applyFont="1" applyFill="1" applyBorder="1" applyProtection="1"/>
    <xf numFmtId="0" fontId="0" fillId="0" borderId="2" xfId="0" applyFont="1" applyFill="1" applyBorder="1" applyAlignment="1" applyProtection="1"/>
    <xf numFmtId="0" fontId="0" fillId="0" borderId="0" xfId="0" applyFont="1" applyBorder="1" applyAlignment="1">
      <alignment horizontal="right"/>
    </xf>
    <xf numFmtId="49" fontId="0" fillId="0" borderId="9" xfId="0" applyNumberFormat="1" applyFont="1" applyFill="1" applyBorder="1" applyProtection="1"/>
    <xf numFmtId="0" fontId="0" fillId="0" borderId="0" xfId="0" applyFont="1" applyFill="1" applyBorder="1" applyAlignment="1" applyProtection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3" fontId="15" fillId="0" borderId="0" xfId="0" applyNumberFormat="1" applyFont="1" applyFill="1" applyBorder="1" applyProtection="1"/>
    <xf numFmtId="164" fontId="18" fillId="0" borderId="0" xfId="1" applyNumberFormat="1" applyFont="1" applyFill="1" applyBorder="1" applyAlignment="1" applyProtection="1">
      <alignment horizontal="right"/>
    </xf>
    <xf numFmtId="164" fontId="17" fillId="0" borderId="0" xfId="1" applyNumberFormat="1" applyFont="1" applyFill="1" applyBorder="1" applyAlignment="1" applyProtection="1">
      <alignment horizontal="right"/>
    </xf>
    <xf numFmtId="4" fontId="0" fillId="0" borderId="0" xfId="0" applyNumberFormat="1" applyFont="1" applyFill="1" applyBorder="1" applyAlignment="1" applyProtection="1">
      <alignment horizontal="right"/>
    </xf>
    <xf numFmtId="164" fontId="18" fillId="0" borderId="13" xfId="1" applyNumberFormat="1" applyFont="1" applyFill="1" applyBorder="1" applyAlignment="1" applyProtection="1">
      <alignment horizontal="right"/>
    </xf>
    <xf numFmtId="164" fontId="17" fillId="0" borderId="13" xfId="1" applyNumberFormat="1" applyFont="1" applyFill="1" applyBorder="1" applyAlignment="1" applyProtection="1">
      <alignment horizontal="right"/>
    </xf>
    <xf numFmtId="164" fontId="17" fillId="0" borderId="0" xfId="0" applyNumberFormat="1" applyFont="1" applyFill="1" applyBorder="1" applyAlignment="1" applyProtection="1">
      <alignment horizontal="right"/>
    </xf>
    <xf numFmtId="164" fontId="18" fillId="0" borderId="16" xfId="0" applyNumberFormat="1" applyFont="1" applyFill="1" applyBorder="1" applyAlignment="1" applyProtection="1">
      <alignment horizontal="right"/>
    </xf>
    <xf numFmtId="164" fontId="17" fillId="0" borderId="0" xfId="0" applyNumberFormat="1" applyFont="1" applyBorder="1" applyAlignment="1">
      <alignment horizontal="right"/>
    </xf>
    <xf numFmtId="164" fontId="17" fillId="0" borderId="13" xfId="0" applyNumberFormat="1" applyFont="1" applyFill="1" applyBorder="1" applyAlignment="1" applyProtection="1">
      <alignment horizontal="right"/>
    </xf>
    <xf numFmtId="164" fontId="17" fillId="0" borderId="13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5" fillId="0" borderId="0" xfId="0" applyNumberFormat="1" applyFont="1" applyFill="1" applyBorder="1" applyAlignment="1" applyProtection="1">
      <alignment horizontal="right"/>
    </xf>
    <xf numFmtId="4" fontId="5" fillId="0" borderId="0" xfId="1" applyNumberFormat="1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 applyProtection="1">
      <alignment horizontal="right"/>
    </xf>
    <xf numFmtId="4" fontId="15" fillId="0" borderId="0" xfId="0" applyNumberFormat="1" applyFont="1" applyFill="1" applyBorder="1" applyAlignment="1" applyProtection="1">
      <alignment horizontal="right"/>
    </xf>
    <xf numFmtId="0" fontId="15" fillId="0" borderId="0" xfId="0" applyFont="1"/>
    <xf numFmtId="49" fontId="15" fillId="0" borderId="9" xfId="0" applyNumberFormat="1" applyFont="1" applyFill="1" applyBorder="1" applyProtection="1"/>
    <xf numFmtId="0" fontId="0" fillId="0" borderId="13" xfId="0" applyFont="1" applyFill="1" applyBorder="1"/>
    <xf numFmtId="0" fontId="5" fillId="0" borderId="13" xfId="0" applyFont="1" applyFill="1" applyBorder="1"/>
    <xf numFmtId="0" fontId="15" fillId="0" borderId="13" xfId="0" applyFont="1" applyFill="1" applyBorder="1"/>
    <xf numFmtId="0" fontId="6" fillId="0" borderId="0" xfId="0" applyFont="1"/>
    <xf numFmtId="0" fontId="15" fillId="0" borderId="0" xfId="0" applyFont="1" applyFill="1" applyBorder="1" applyProtection="1"/>
    <xf numFmtId="165" fontId="15" fillId="0" borderId="0" xfId="0" applyNumberFormat="1" applyFont="1" applyFill="1" applyBorder="1" applyAlignment="1" applyProtection="1">
      <alignment horizontal="right"/>
    </xf>
    <xf numFmtId="49" fontId="3" fillId="0" borderId="9" xfId="0" applyNumberFormat="1" applyFont="1" applyFill="1" applyBorder="1" applyProtection="1"/>
    <xf numFmtId="0" fontId="3" fillId="0" borderId="0" xfId="0" applyFont="1" applyFill="1" applyBorder="1" applyProtection="1"/>
    <xf numFmtId="49" fontId="3" fillId="0" borderId="9" xfId="0" applyNumberFormat="1" applyFont="1" applyBorder="1"/>
    <xf numFmtId="0" fontId="3" fillId="0" borderId="0" xfId="0" applyFont="1" applyBorder="1"/>
    <xf numFmtId="49" fontId="3" fillId="0" borderId="8" xfId="0" applyNumberFormat="1" applyFont="1" applyBorder="1"/>
    <xf numFmtId="0" fontId="3" fillId="0" borderId="2" xfId="0" applyFont="1" applyBorder="1"/>
    <xf numFmtId="165" fontId="3" fillId="0" borderId="0" xfId="0" applyNumberFormat="1" applyFont="1" applyFill="1" applyBorder="1" applyProtection="1"/>
    <xf numFmtId="165" fontId="3" fillId="0" borderId="13" xfId="0" applyNumberFormat="1" applyFont="1" applyFill="1" applyBorder="1"/>
    <xf numFmtId="165" fontId="3" fillId="0" borderId="0" xfId="0" applyNumberFormat="1" applyFont="1" applyBorder="1"/>
    <xf numFmtId="165" fontId="3" fillId="0" borderId="13" xfId="0" applyNumberFormat="1" applyFont="1" applyBorder="1"/>
    <xf numFmtId="165" fontId="3" fillId="0" borderId="2" xfId="0" applyNumberFormat="1" applyFont="1" applyBorder="1"/>
    <xf numFmtId="165" fontId="3" fillId="0" borderId="12" xfId="0" applyNumberFormat="1" applyFont="1" applyBorder="1"/>
    <xf numFmtId="0" fontId="0" fillId="0" borderId="0" xfId="0" applyFont="1" applyFill="1" applyBorder="1" applyAlignment="1" applyProtection="1">
      <alignment horizontal="center"/>
    </xf>
    <xf numFmtId="165" fontId="3" fillId="0" borderId="0" xfId="0" applyNumberFormat="1" applyFont="1" applyFill="1" applyBorder="1"/>
    <xf numFmtId="49" fontId="3" fillId="0" borderId="0" xfId="0" applyNumberFormat="1" applyFont="1" applyBorder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24" fillId="0" borderId="0" xfId="0" applyFont="1"/>
    <xf numFmtId="0" fontId="25" fillId="0" borderId="0" xfId="0" applyFont="1"/>
    <xf numFmtId="0" fontId="21" fillId="0" borderId="0" xfId="0" applyFont="1"/>
    <xf numFmtId="49" fontId="0" fillId="0" borderId="0" xfId="0" applyNumberFormat="1" applyFill="1" applyBorder="1" applyProtection="1"/>
    <xf numFmtId="0" fontId="23" fillId="0" borderId="0" xfId="0" applyFont="1" applyAlignment="1"/>
    <xf numFmtId="0" fontId="25" fillId="0" borderId="0" xfId="0" applyFont="1" applyBorder="1" applyAlignment="1"/>
    <xf numFmtId="0" fontId="26" fillId="0" borderId="0" xfId="0" applyFont="1" applyAlignment="1">
      <alignment horizontal="right" vertical="top"/>
    </xf>
    <xf numFmtId="164" fontId="21" fillId="2" borderId="0" xfId="1" applyNumberFormat="1" applyFont="1" applyFill="1" applyBorder="1" applyAlignment="1" applyProtection="1">
      <alignment horizontal="right"/>
    </xf>
    <xf numFmtId="4" fontId="21" fillId="2" borderId="0" xfId="0" applyNumberFormat="1" applyFont="1" applyFill="1" applyBorder="1" applyAlignment="1" applyProtection="1">
      <alignment horizontal="right"/>
    </xf>
    <xf numFmtId="0" fontId="21" fillId="2" borderId="13" xfId="0" applyFont="1" applyFill="1" applyBorder="1"/>
    <xf numFmtId="49" fontId="0" fillId="2" borderId="15" xfId="0" applyNumberFormat="1" applyFill="1" applyBorder="1" applyProtection="1"/>
    <xf numFmtId="0" fontId="0" fillId="2" borderId="16" xfId="0" applyFill="1" applyBorder="1" applyProtection="1"/>
    <xf numFmtId="4" fontId="0" fillId="2" borderId="16" xfId="0" applyNumberFormat="1" applyFill="1" applyBorder="1" applyProtection="1"/>
    <xf numFmtId="0" fontId="0" fillId="2" borderId="17" xfId="0" applyFill="1" applyBorder="1"/>
    <xf numFmtId="49" fontId="21" fillId="2" borderId="9" xfId="0" applyNumberFormat="1" applyFont="1" applyFill="1" applyBorder="1" applyAlignment="1" applyProtection="1"/>
    <xf numFmtId="0" fontId="22" fillId="2" borderId="0" xfId="0" applyFont="1" applyFill="1" applyBorder="1" applyAlignment="1" applyProtection="1"/>
    <xf numFmtId="0" fontId="21" fillId="2" borderId="0" xfId="0" applyFont="1" applyFill="1" applyBorder="1" applyAlignment="1" applyProtection="1"/>
    <xf numFmtId="0" fontId="21" fillId="2" borderId="13" xfId="0" applyFont="1" applyFill="1" applyBorder="1" applyAlignment="1"/>
    <xf numFmtId="49" fontId="21" fillId="2" borderId="9" xfId="0" applyNumberFormat="1" applyFont="1" applyFill="1" applyBorder="1" applyProtection="1"/>
    <xf numFmtId="0" fontId="21" fillId="2" borderId="0" xfId="0" applyFont="1" applyFill="1" applyBorder="1" applyProtection="1"/>
    <xf numFmtId="6" fontId="21" fillId="2" borderId="0" xfId="0" applyNumberFormat="1" applyFont="1" applyFill="1" applyBorder="1" applyAlignment="1" applyProtection="1">
      <alignment horizontal="right"/>
    </xf>
    <xf numFmtId="3" fontId="21" fillId="2" borderId="0" xfId="0" applyNumberFormat="1" applyFont="1" applyFill="1" applyBorder="1" applyAlignment="1" applyProtection="1"/>
    <xf numFmtId="3" fontId="21" fillId="2" borderId="0" xfId="0" applyNumberFormat="1" applyFont="1" applyFill="1" applyBorder="1" applyProtection="1"/>
    <xf numFmtId="164" fontId="21" fillId="2" borderId="0" xfId="1" applyNumberFormat="1" applyFont="1" applyFill="1" applyBorder="1" applyAlignment="1" applyProtection="1">
      <alignment horizontal="right" vertical="top"/>
    </xf>
    <xf numFmtId="0" fontId="15" fillId="2" borderId="0" xfId="0" applyFont="1" applyFill="1" applyBorder="1" applyAlignment="1" applyProtection="1">
      <alignment horizontal="right"/>
    </xf>
    <xf numFmtId="166" fontId="15" fillId="2" borderId="0" xfId="0" applyNumberFormat="1" applyFont="1" applyFill="1" applyBorder="1" applyAlignment="1" applyProtection="1">
      <alignment horizontal="right"/>
    </xf>
    <xf numFmtId="49" fontId="15" fillId="2" borderId="9" xfId="0" applyNumberFormat="1" applyFont="1" applyFill="1" applyBorder="1" applyProtection="1"/>
    <xf numFmtId="3" fontId="15" fillId="2" borderId="0" xfId="0" applyNumberFormat="1" applyFont="1" applyFill="1" applyBorder="1" applyAlignment="1" applyProtection="1">
      <alignment horizontal="right"/>
    </xf>
    <xf numFmtId="4" fontId="15" fillId="2" borderId="0" xfId="0" applyNumberFormat="1" applyFont="1" applyFill="1" applyBorder="1" applyAlignment="1" applyProtection="1">
      <alignment horizontal="right"/>
    </xf>
    <xf numFmtId="0" fontId="15" fillId="2" borderId="13" xfId="0" applyFont="1" applyFill="1" applyBorder="1"/>
    <xf numFmtId="165" fontId="15" fillId="2" borderId="0" xfId="0" applyNumberFormat="1" applyFont="1" applyFill="1" applyBorder="1" applyAlignment="1" applyProtection="1">
      <alignment horizontal="right"/>
    </xf>
    <xf numFmtId="0" fontId="15" fillId="2" borderId="0" xfId="0" applyFont="1" applyFill="1" applyBorder="1" applyProtection="1"/>
    <xf numFmtId="165" fontId="15" fillId="2" borderId="0" xfId="0" applyNumberFormat="1" applyFont="1" applyFill="1" applyBorder="1" applyProtection="1"/>
    <xf numFmtId="49" fontId="20" fillId="2" borderId="10" xfId="0" applyNumberFormat="1" applyFont="1" applyFill="1" applyBorder="1"/>
    <xf numFmtId="0" fontId="20" fillId="2" borderId="1" xfId="0" applyFont="1" applyFill="1" applyBorder="1"/>
    <xf numFmtId="165" fontId="20" fillId="2" borderId="1" xfId="0" applyNumberFormat="1" applyFont="1" applyFill="1" applyBorder="1"/>
    <xf numFmtId="165" fontId="20" fillId="2" borderId="14" xfId="0" applyNumberFormat="1" applyFont="1" applyFill="1" applyBorder="1"/>
    <xf numFmtId="0" fontId="21" fillId="2" borderId="0" xfId="0" applyFont="1" applyFill="1"/>
    <xf numFmtId="0" fontId="25" fillId="2" borderId="0" xfId="0" applyFont="1" applyFill="1"/>
    <xf numFmtId="0" fontId="24" fillId="2" borderId="0" xfId="0" applyFont="1" applyFill="1"/>
    <xf numFmtId="9" fontId="21" fillId="2" borderId="0" xfId="1" applyFont="1" applyFill="1" applyBorder="1" applyAlignment="1" applyProtection="1">
      <alignment horizontal="right"/>
    </xf>
    <xf numFmtId="9" fontId="15" fillId="2" borderId="0" xfId="1" applyFont="1" applyFill="1" applyBorder="1" applyAlignment="1" applyProtection="1">
      <alignment horizontal="right"/>
    </xf>
    <xf numFmtId="4" fontId="2" fillId="2" borderId="0" xfId="0" applyNumberFormat="1" applyFont="1" applyFill="1" applyBorder="1" applyAlignment="1" applyProtection="1">
      <alignment horizontal="right" vertical="center"/>
    </xf>
    <xf numFmtId="164" fontId="27" fillId="2" borderId="13" xfId="1" applyNumberFormat="1" applyFont="1" applyFill="1" applyBorder="1" applyAlignment="1" applyProtection="1">
      <alignment horizontal="right" vertical="center"/>
    </xf>
    <xf numFmtId="2" fontId="27" fillId="2" borderId="13" xfId="1" applyNumberFormat="1" applyFont="1" applyFill="1" applyBorder="1" applyAlignment="1" applyProtection="1">
      <alignment horizontal="right" vertical="center"/>
    </xf>
    <xf numFmtId="164" fontId="21" fillId="2" borderId="0" xfId="1" applyNumberFormat="1" applyFont="1" applyFill="1" applyBorder="1" applyAlignment="1" applyProtection="1">
      <alignment horizontal="right" vertical="center"/>
    </xf>
    <xf numFmtId="4" fontId="21" fillId="2" borderId="0" xfId="0" applyNumberFormat="1" applyFont="1" applyFill="1" applyBorder="1" applyAlignment="1" applyProtection="1">
      <alignment horizontal="right" vertical="center"/>
    </xf>
    <xf numFmtId="164" fontId="6" fillId="0" borderId="0" xfId="1" applyNumberFormat="1" applyFont="1" applyFill="1" applyBorder="1" applyAlignment="1" applyProtection="1">
      <alignment horizontal="right"/>
    </xf>
    <xf numFmtId="164" fontId="7" fillId="0" borderId="0" xfId="1" applyNumberFormat="1" applyFont="1" applyBorder="1" applyAlignment="1" applyProtection="1">
      <alignment horizontal="right"/>
    </xf>
    <xf numFmtId="164" fontId="6" fillId="0" borderId="0" xfId="1" applyNumberFormat="1" applyFont="1" applyBorder="1" applyAlignment="1" applyProtection="1">
      <alignment horizontal="right"/>
    </xf>
    <xf numFmtId="164" fontId="6" fillId="0" borderId="2" xfId="1" applyNumberFormat="1" applyFont="1" applyBorder="1" applyAlignment="1" applyProtection="1">
      <alignment horizontal="right"/>
    </xf>
    <xf numFmtId="49" fontId="5" fillId="0" borderId="0" xfId="0" applyNumberFormat="1" applyFont="1" applyBorder="1"/>
    <xf numFmtId="165" fontId="5" fillId="0" borderId="0" xfId="0" applyNumberFormat="1" applyFont="1" applyBorder="1" applyAlignment="1">
      <alignment horizontal="right"/>
    </xf>
    <xf numFmtId="164" fontId="18" fillId="0" borderId="0" xfId="0" applyNumberFormat="1" applyFont="1" applyBorder="1" applyAlignment="1">
      <alignment horizontal="right"/>
    </xf>
    <xf numFmtId="49" fontId="5" fillId="0" borderId="15" xfId="0" applyNumberFormat="1" applyFont="1" applyBorder="1"/>
    <xf numFmtId="0" fontId="5" fillId="0" borderId="16" xfId="0" applyFont="1" applyBorder="1"/>
    <xf numFmtId="165" fontId="5" fillId="0" borderId="16" xfId="0" applyNumberFormat="1" applyFont="1" applyBorder="1" applyAlignment="1">
      <alignment horizontal="right"/>
    </xf>
    <xf numFmtId="164" fontId="18" fillId="0" borderId="16" xfId="0" applyNumberFormat="1" applyFont="1" applyBorder="1" applyAlignment="1">
      <alignment horizontal="right"/>
    </xf>
    <xf numFmtId="164" fontId="18" fillId="0" borderId="17" xfId="0" applyNumberFormat="1" applyFont="1" applyBorder="1" applyAlignment="1">
      <alignment horizontal="right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49" fontId="15" fillId="0" borderId="9" xfId="0" applyNumberFormat="1" applyFont="1" applyBorder="1"/>
    <xf numFmtId="164" fontId="15" fillId="0" borderId="13" xfId="0" applyNumberFormat="1" applyFont="1" applyBorder="1" applyAlignment="1">
      <alignment horizontal="right"/>
    </xf>
    <xf numFmtId="49" fontId="5" fillId="0" borderId="8" xfId="0" applyNumberFormat="1" applyFont="1" applyBorder="1"/>
    <xf numFmtId="0" fontId="0" fillId="0" borderId="2" xfId="0" applyFont="1" applyBorder="1"/>
    <xf numFmtId="165" fontId="5" fillId="0" borderId="2" xfId="0" applyNumberFormat="1" applyFont="1" applyBorder="1" applyAlignment="1">
      <alignment horizontal="right"/>
    </xf>
    <xf numFmtId="164" fontId="18" fillId="0" borderId="2" xfId="0" applyNumberFormat="1" applyFont="1" applyBorder="1" applyAlignment="1">
      <alignment horizontal="right"/>
    </xf>
    <xf numFmtId="164" fontId="18" fillId="0" borderId="12" xfId="0" applyNumberFormat="1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right"/>
    </xf>
    <xf numFmtId="14" fontId="1" fillId="0" borderId="16" xfId="0" applyNumberFormat="1" applyFont="1" applyBorder="1"/>
    <xf numFmtId="0" fontId="1" fillId="0" borderId="17" xfId="0" applyFont="1" applyBorder="1"/>
    <xf numFmtId="49" fontId="0" fillId="0" borderId="8" xfId="0" applyNumberFormat="1" applyFont="1" applyBorder="1"/>
    <xf numFmtId="49" fontId="1" fillId="4" borderId="8" xfId="0" applyNumberFormat="1" applyFont="1" applyFill="1" applyBorder="1"/>
    <xf numFmtId="0" fontId="1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1" fillId="4" borderId="12" xfId="0" applyFont="1" applyFill="1" applyBorder="1"/>
    <xf numFmtId="49" fontId="1" fillId="3" borderId="18" xfId="0" applyNumberFormat="1" applyFont="1" applyFill="1" applyBorder="1"/>
    <xf numFmtId="0" fontId="1" fillId="3" borderId="19" xfId="0" applyFont="1" applyFill="1" applyBorder="1"/>
    <xf numFmtId="4" fontId="1" fillId="3" borderId="19" xfId="0" applyNumberFormat="1" applyFont="1" applyFill="1" applyBorder="1"/>
    <xf numFmtId="164" fontId="7" fillId="3" borderId="19" xfId="1" applyNumberFormat="1" applyFont="1" applyFill="1" applyBorder="1" applyAlignment="1" applyProtection="1">
      <alignment horizontal="right"/>
    </xf>
    <xf numFmtId="0" fontId="1" fillId="3" borderId="20" xfId="0" applyFont="1" applyFill="1" applyBorder="1"/>
    <xf numFmtId="3" fontId="0" fillId="5" borderId="0" xfId="0" applyNumberFormat="1" applyFill="1" applyBorder="1" applyProtection="1">
      <protection locked="0"/>
    </xf>
    <xf numFmtId="4" fontId="5" fillId="5" borderId="0" xfId="0" applyNumberFormat="1" applyFont="1" applyFill="1" applyBorder="1" applyAlignment="1" applyProtection="1">
      <protection locked="0"/>
    </xf>
    <xf numFmtId="4" fontId="0" fillId="5" borderId="0" xfId="0" applyNumberFormat="1" applyFont="1" applyFill="1" applyBorder="1" applyAlignment="1" applyProtection="1">
      <protection locked="0"/>
    </xf>
    <xf numFmtId="4" fontId="0" fillId="5" borderId="0" xfId="0" applyNumberFormat="1" applyFill="1" applyBorder="1" applyProtection="1">
      <protection locked="0"/>
    </xf>
    <xf numFmtId="4" fontId="0" fillId="5" borderId="2" xfId="0" applyNumberFormat="1" applyFill="1" applyBorder="1" applyProtection="1">
      <protection locked="0"/>
    </xf>
    <xf numFmtId="3" fontId="0" fillId="5" borderId="2" xfId="0" applyNumberFormat="1" applyFill="1" applyBorder="1" applyProtection="1">
      <protection locked="0"/>
    </xf>
    <xf numFmtId="49" fontId="1" fillId="0" borderId="15" xfId="0" applyNumberFormat="1" applyFont="1" applyBorder="1"/>
    <xf numFmtId="3" fontId="0" fillId="5" borderId="0" xfId="0" applyNumberFormat="1" applyFont="1" applyFill="1" applyBorder="1" applyProtection="1">
      <protection locked="0"/>
    </xf>
    <xf numFmtId="9" fontId="0" fillId="5" borderId="0" xfId="0" applyNumberFormat="1" applyFill="1" applyBorder="1" applyProtection="1">
      <protection locked="0"/>
    </xf>
    <xf numFmtId="49" fontId="9" fillId="3" borderId="18" xfId="0" applyNumberFormat="1" applyFont="1" applyFill="1" applyBorder="1" applyProtection="1"/>
    <xf numFmtId="0" fontId="1" fillId="3" borderId="19" xfId="0" applyFont="1" applyFill="1" applyBorder="1" applyProtection="1"/>
    <xf numFmtId="0" fontId="9" fillId="3" borderId="19" xfId="0" applyFont="1" applyFill="1" applyBorder="1" applyProtection="1"/>
    <xf numFmtId="4" fontId="5" fillId="3" borderId="19" xfId="0" applyNumberFormat="1" applyFont="1" applyFill="1" applyBorder="1" applyProtection="1"/>
    <xf numFmtId="10" fontId="5" fillId="3" borderId="19" xfId="0" applyNumberFormat="1" applyFont="1" applyFill="1" applyBorder="1" applyProtection="1"/>
    <xf numFmtId="3" fontId="5" fillId="3" borderId="19" xfId="0" applyNumberFormat="1" applyFont="1" applyFill="1" applyBorder="1" applyProtection="1"/>
    <xf numFmtId="4" fontId="5" fillId="3" borderId="19" xfId="1" applyNumberFormat="1" applyFont="1" applyFill="1" applyBorder="1" applyAlignment="1" applyProtection="1">
      <alignment horizontal="right"/>
    </xf>
    <xf numFmtId="0" fontId="9" fillId="3" borderId="20" xfId="0" applyFont="1" applyFill="1" applyBorder="1" applyProtection="1"/>
    <xf numFmtId="3" fontId="0" fillId="6" borderId="0" xfId="0" applyNumberFormat="1" applyFill="1" applyBorder="1" applyProtection="1">
      <protection locked="0"/>
    </xf>
    <xf numFmtId="3" fontId="0" fillId="6" borderId="0" xfId="0" applyNumberFormat="1" applyFont="1" applyFill="1" applyBorder="1" applyProtection="1">
      <protection locked="0"/>
    </xf>
    <xf numFmtId="10" fontId="0" fillId="6" borderId="0" xfId="0" applyNumberFormat="1" applyFont="1" applyFill="1" applyBorder="1" applyAlignment="1" applyProtection="1">
      <protection locked="0"/>
    </xf>
    <xf numFmtId="4" fontId="0" fillId="6" borderId="0" xfId="0" applyNumberFormat="1" applyFont="1" applyFill="1" applyBorder="1" applyAlignment="1" applyProtection="1">
      <protection locked="0"/>
    </xf>
    <xf numFmtId="4" fontId="0" fillId="6" borderId="0" xfId="0" applyNumberFormat="1" applyFill="1" applyBorder="1" applyProtection="1">
      <protection locked="0"/>
    </xf>
    <xf numFmtId="10" fontId="0" fillId="6" borderId="0" xfId="0" applyNumberFormat="1" applyFill="1" applyBorder="1" applyProtection="1">
      <protection locked="0"/>
    </xf>
    <xf numFmtId="3" fontId="0" fillId="6" borderId="0" xfId="0" applyNumberFormat="1" applyFont="1" applyFill="1" applyBorder="1" applyAlignment="1" applyProtection="1">
      <protection locked="0"/>
    </xf>
    <xf numFmtId="4" fontId="0" fillId="6" borderId="0" xfId="0" applyNumberFormat="1" applyFont="1" applyFill="1" applyBorder="1" applyProtection="1">
      <protection locked="0"/>
    </xf>
    <xf numFmtId="10" fontId="0" fillId="6" borderId="0" xfId="0" applyNumberFormat="1" applyFont="1" applyFill="1" applyBorder="1" applyProtection="1">
      <protection locked="0"/>
    </xf>
    <xf numFmtId="49" fontId="1" fillId="4" borderId="9" xfId="0" applyNumberFormat="1" applyFont="1" applyFill="1" applyBorder="1" applyProtection="1"/>
    <xf numFmtId="0" fontId="1" fillId="4" borderId="0" xfId="0" applyFont="1" applyFill="1" applyBorder="1" applyProtection="1"/>
    <xf numFmtId="0" fontId="5" fillId="4" borderId="0" xfId="0" applyFont="1" applyFill="1" applyBorder="1" applyProtection="1"/>
    <xf numFmtId="4" fontId="5" fillId="4" borderId="0" xfId="0" applyNumberFormat="1" applyFont="1" applyFill="1" applyBorder="1" applyAlignment="1" applyProtection="1">
      <alignment horizontal="center"/>
    </xf>
    <xf numFmtId="10" fontId="5" fillId="4" borderId="0" xfId="0" applyNumberFormat="1" applyFont="1" applyFill="1" applyBorder="1" applyAlignment="1" applyProtection="1">
      <alignment horizontal="center" wrapText="1"/>
    </xf>
    <xf numFmtId="3" fontId="5" fillId="4" borderId="0" xfId="0" applyNumberFormat="1" applyFont="1" applyFill="1" applyBorder="1" applyAlignment="1" applyProtection="1">
      <alignment horizontal="center" wrapText="1"/>
    </xf>
    <xf numFmtId="4" fontId="7" fillId="4" borderId="0" xfId="1" applyNumberFormat="1" applyFont="1" applyFill="1" applyBorder="1" applyAlignment="1" applyProtection="1">
      <alignment horizontal="center" wrapText="1"/>
    </xf>
    <xf numFmtId="0" fontId="5" fillId="4" borderId="13" xfId="0" applyFont="1" applyFill="1" applyBorder="1" applyProtection="1"/>
    <xf numFmtId="49" fontId="1" fillId="4" borderId="8" xfId="0" applyNumberFormat="1" applyFont="1" applyFill="1" applyBorder="1" applyProtection="1"/>
    <xf numFmtId="0" fontId="1" fillId="4" borderId="2" xfId="0" applyFont="1" applyFill="1" applyBorder="1" applyProtection="1"/>
    <xf numFmtId="0" fontId="3" fillId="4" borderId="2" xfId="0" applyFont="1" applyFill="1" applyBorder="1" applyAlignment="1" applyProtection="1">
      <alignment horizontal="center" wrapText="1"/>
    </xf>
    <xf numFmtId="4" fontId="3" fillId="4" borderId="2" xfId="0" applyNumberFormat="1" applyFont="1" applyFill="1" applyBorder="1" applyAlignment="1" applyProtection="1">
      <alignment horizontal="center"/>
    </xf>
    <xf numFmtId="0" fontId="1" fillId="4" borderId="12" xfId="0" applyFont="1" applyFill="1" applyBorder="1" applyProtection="1"/>
    <xf numFmtId="3" fontId="7" fillId="6" borderId="0" xfId="1" applyNumberFormat="1" applyFont="1" applyFill="1" applyBorder="1" applyAlignment="1" applyProtection="1">
      <alignment horizontal="right"/>
      <protection locked="0"/>
    </xf>
    <xf numFmtId="3" fontId="6" fillId="6" borderId="0" xfId="1" applyNumberFormat="1" applyFont="1" applyFill="1" applyBorder="1" applyAlignment="1" applyProtection="1">
      <alignment horizontal="right"/>
      <protection locked="0"/>
    </xf>
    <xf numFmtId="0" fontId="7" fillId="4" borderId="2" xfId="0" applyFont="1" applyFill="1" applyBorder="1" applyAlignment="1">
      <alignment horizontal="center" wrapText="1"/>
    </xf>
    <xf numFmtId="49" fontId="5" fillId="3" borderId="18" xfId="0" applyNumberFormat="1" applyFont="1" applyFill="1" applyBorder="1"/>
    <xf numFmtId="0" fontId="5" fillId="3" borderId="19" xfId="0" applyFont="1" applyFill="1" applyBorder="1"/>
    <xf numFmtId="4" fontId="5" fillId="3" borderId="19" xfId="0" applyNumberFormat="1" applyFont="1" applyFill="1" applyBorder="1"/>
    <xf numFmtId="164" fontId="7" fillId="3" borderId="19" xfId="1" applyNumberFormat="1" applyFont="1" applyFill="1" applyBorder="1" applyAlignment="1">
      <alignment horizontal="right"/>
    </xf>
    <xf numFmtId="0" fontId="0" fillId="3" borderId="20" xfId="0" applyFill="1" applyBorder="1"/>
    <xf numFmtId="49" fontId="5" fillId="3" borderId="18" xfId="0" applyNumberFormat="1" applyFont="1" applyFill="1" applyBorder="1" applyProtection="1"/>
    <xf numFmtId="0" fontId="5" fillId="3" borderId="19" xfId="0" applyFont="1" applyFill="1" applyBorder="1" applyProtection="1"/>
    <xf numFmtId="0" fontId="5" fillId="3" borderId="20" xfId="0" applyFont="1" applyFill="1" applyBorder="1" applyProtection="1"/>
    <xf numFmtId="0" fontId="5" fillId="3" borderId="19" xfId="0" applyFont="1" applyFill="1" applyBorder="1" applyAlignment="1" applyProtection="1"/>
    <xf numFmtId="0" fontId="13" fillId="3" borderId="19" xfId="0" applyFont="1" applyFill="1" applyBorder="1" applyAlignment="1" applyProtection="1">
      <alignment horizontal="center"/>
    </xf>
    <xf numFmtId="4" fontId="5" fillId="3" borderId="19" xfId="0" applyNumberFormat="1" applyFont="1" applyFill="1" applyBorder="1" applyAlignment="1" applyProtection="1"/>
    <xf numFmtId="0" fontId="5" fillId="4" borderId="2" xfId="0" applyFont="1" applyFill="1" applyBorder="1" applyProtection="1"/>
    <xf numFmtId="4" fontId="5" fillId="4" borderId="2" xfId="0" applyNumberFormat="1" applyFont="1" applyFill="1" applyBorder="1" applyAlignment="1" applyProtection="1">
      <alignment horizontal="center"/>
    </xf>
    <xf numFmtId="4" fontId="5" fillId="4" borderId="2" xfId="0" applyNumberFormat="1" applyFont="1" applyFill="1" applyBorder="1" applyAlignment="1" applyProtection="1">
      <alignment horizontal="center" wrapText="1"/>
    </xf>
    <xf numFmtId="4" fontId="7" fillId="4" borderId="2" xfId="1" applyNumberFormat="1" applyFont="1" applyFill="1" applyBorder="1" applyAlignment="1" applyProtection="1">
      <alignment horizontal="center" wrapText="1"/>
    </xf>
    <xf numFmtId="4" fontId="5" fillId="4" borderId="2" xfId="0" applyNumberFormat="1" applyFont="1" applyFill="1" applyBorder="1" applyAlignment="1" applyProtection="1"/>
    <xf numFmtId="0" fontId="5" fillId="4" borderId="2" xfId="0" applyFont="1" applyFill="1" applyBorder="1" applyAlignment="1" applyProtection="1"/>
    <xf numFmtId="0" fontId="5" fillId="4" borderId="12" xfId="0" applyFont="1" applyFill="1" applyBorder="1" applyProtection="1"/>
    <xf numFmtId="49" fontId="1" fillId="4" borderId="31" xfId="0" applyNumberFormat="1" applyFont="1" applyFill="1" applyBorder="1" applyProtection="1"/>
    <xf numFmtId="0" fontId="1" fillId="4" borderId="32" xfId="0" applyFont="1" applyFill="1" applyBorder="1" applyProtection="1"/>
    <xf numFmtId="0" fontId="12" fillId="4" borderId="32" xfId="0" applyFont="1" applyFill="1" applyBorder="1" applyAlignment="1" applyProtection="1">
      <alignment horizontal="center"/>
    </xf>
    <xf numFmtId="4" fontId="9" fillId="4" borderId="32" xfId="0" applyNumberFormat="1" applyFont="1" applyFill="1" applyBorder="1" applyAlignment="1" applyProtection="1"/>
    <xf numFmtId="4" fontId="1" fillId="4" borderId="32" xfId="0" applyNumberFormat="1" applyFont="1" applyFill="1" applyBorder="1" applyAlignment="1" applyProtection="1"/>
    <xf numFmtId="4" fontId="9" fillId="4" borderId="32" xfId="1" applyNumberFormat="1" applyFont="1" applyFill="1" applyBorder="1" applyAlignment="1" applyProtection="1">
      <alignment horizontal="right"/>
    </xf>
    <xf numFmtId="0" fontId="9" fillId="4" borderId="32" xfId="0" applyFont="1" applyFill="1" applyBorder="1" applyAlignment="1" applyProtection="1"/>
    <xf numFmtId="0" fontId="9" fillId="4" borderId="33" xfId="0" applyFont="1" applyFill="1" applyBorder="1" applyProtection="1"/>
    <xf numFmtId="0" fontId="12" fillId="4" borderId="2" xfId="0" applyFont="1" applyFill="1" applyBorder="1" applyAlignment="1" applyProtection="1">
      <alignment horizontal="center"/>
    </xf>
    <xf numFmtId="4" fontId="9" fillId="4" borderId="2" xfId="0" applyNumberFormat="1" applyFont="1" applyFill="1" applyBorder="1" applyAlignment="1" applyProtection="1"/>
    <xf numFmtId="4" fontId="1" fillId="4" borderId="2" xfId="0" applyNumberFormat="1" applyFont="1" applyFill="1" applyBorder="1" applyAlignment="1" applyProtection="1"/>
    <xf numFmtId="4" fontId="9" fillId="4" borderId="2" xfId="1" applyNumberFormat="1" applyFont="1" applyFill="1" applyBorder="1" applyAlignment="1" applyProtection="1">
      <alignment horizontal="right"/>
    </xf>
    <xf numFmtId="0" fontId="9" fillId="4" borderId="2" xfId="0" applyFont="1" applyFill="1" applyBorder="1" applyAlignment="1" applyProtection="1"/>
    <xf numFmtId="0" fontId="9" fillId="4" borderId="12" xfId="0" applyFont="1" applyFill="1" applyBorder="1" applyProtection="1"/>
    <xf numFmtId="49" fontId="0" fillId="0" borderId="0" xfId="0" applyNumberFormat="1" applyBorder="1" applyProtection="1"/>
    <xf numFmtId="49" fontId="1" fillId="0" borderId="15" xfId="0" applyNumberFormat="1" applyFont="1" applyBorder="1" applyProtection="1"/>
    <xf numFmtId="0" fontId="1" fillId="0" borderId="16" xfId="0" applyFont="1" applyBorder="1" applyProtection="1"/>
    <xf numFmtId="0" fontId="1" fillId="0" borderId="16" xfId="0" applyFont="1" applyBorder="1" applyAlignment="1" applyProtection="1">
      <alignment horizontal="right"/>
    </xf>
    <xf numFmtId="14" fontId="1" fillId="0" borderId="16" xfId="0" applyNumberFormat="1" applyFont="1" applyBorder="1" applyProtection="1"/>
    <xf numFmtId="0" fontId="1" fillId="0" borderId="17" xfId="0" applyFont="1" applyBorder="1" applyProtection="1"/>
    <xf numFmtId="4" fontId="0" fillId="6" borderId="0" xfId="1" applyNumberFormat="1" applyFont="1" applyFill="1" applyBorder="1" applyAlignment="1" applyProtection="1">
      <alignment horizontal="right"/>
      <protection locked="0"/>
    </xf>
    <xf numFmtId="4" fontId="5" fillId="6" borderId="0" xfId="0" applyNumberFormat="1" applyFont="1" applyFill="1" applyBorder="1" applyAlignment="1" applyProtection="1">
      <alignment horizontal="right"/>
      <protection locked="0"/>
    </xf>
    <xf numFmtId="4" fontId="0" fillId="6" borderId="0" xfId="0" applyNumberFormat="1" applyFont="1" applyFill="1" applyBorder="1" applyAlignment="1" applyProtection="1">
      <alignment horizontal="right"/>
      <protection locked="0"/>
    </xf>
    <xf numFmtId="4" fontId="5" fillId="6" borderId="0" xfId="1" applyNumberFormat="1" applyFont="1" applyFill="1" applyBorder="1" applyAlignment="1" applyProtection="1">
      <alignment horizontal="right"/>
      <protection locked="0"/>
    </xf>
    <xf numFmtId="4" fontId="4" fillId="6" borderId="0" xfId="1" applyNumberFormat="1" applyFont="1" applyFill="1" applyBorder="1" applyAlignment="1" applyProtection="1">
      <alignment horizontal="right"/>
      <protection locked="0"/>
    </xf>
    <xf numFmtId="9" fontId="15" fillId="6" borderId="0" xfId="1" applyFont="1" applyFill="1" applyBorder="1" applyAlignment="1" applyProtection="1">
      <alignment horizontal="right"/>
      <protection locked="0"/>
    </xf>
    <xf numFmtId="4" fontId="15" fillId="6" borderId="0" xfId="0" applyNumberFormat="1" applyFont="1" applyFill="1" applyBorder="1" applyAlignment="1" applyProtection="1">
      <alignment horizontal="right"/>
      <protection locked="0"/>
    </xf>
    <xf numFmtId="0" fontId="15" fillId="6" borderId="0" xfId="0" applyFont="1" applyFill="1" applyBorder="1" applyAlignment="1" applyProtection="1">
      <alignment horizontal="right"/>
      <protection locked="0"/>
    </xf>
    <xf numFmtId="3" fontId="15" fillId="6" borderId="0" xfId="0" applyNumberFormat="1" applyFont="1" applyFill="1" applyBorder="1" applyProtection="1">
      <protection locked="0"/>
    </xf>
    <xf numFmtId="0" fontId="15" fillId="6" borderId="0" xfId="0" applyFont="1" applyFill="1" applyBorder="1" applyProtection="1">
      <protection locked="0"/>
    </xf>
    <xf numFmtId="165" fontId="5" fillId="3" borderId="19" xfId="0" applyNumberFormat="1" applyFont="1" applyFill="1" applyBorder="1" applyAlignment="1">
      <alignment horizontal="right"/>
    </xf>
    <xf numFmtId="164" fontId="18" fillId="3" borderId="19" xfId="0" applyNumberFormat="1" applyFont="1" applyFill="1" applyBorder="1" applyAlignment="1">
      <alignment horizontal="right"/>
    </xf>
    <xf numFmtId="164" fontId="18" fillId="3" borderId="20" xfId="0" applyNumberFormat="1" applyFont="1" applyFill="1" applyBorder="1" applyAlignment="1">
      <alignment horizontal="right"/>
    </xf>
    <xf numFmtId="49" fontId="5" fillId="3" borderId="15" xfId="0" applyNumberFormat="1" applyFont="1" applyFill="1" applyBorder="1"/>
    <xf numFmtId="0" fontId="5" fillId="3" borderId="16" xfId="0" applyFont="1" applyFill="1" applyBorder="1"/>
    <xf numFmtId="165" fontId="5" fillId="3" borderId="16" xfId="0" applyNumberFormat="1" applyFont="1" applyFill="1" applyBorder="1" applyAlignment="1">
      <alignment horizontal="right"/>
    </xf>
    <xf numFmtId="164" fontId="18" fillId="3" borderId="16" xfId="0" applyNumberFormat="1" applyFont="1" applyFill="1" applyBorder="1" applyAlignment="1">
      <alignment horizontal="right"/>
    </xf>
    <xf numFmtId="164" fontId="18" fillId="3" borderId="17" xfId="0" applyNumberFormat="1" applyFont="1" applyFill="1" applyBorder="1" applyAlignment="1">
      <alignment horizontal="right"/>
    </xf>
    <xf numFmtId="49" fontId="5" fillId="3" borderId="31" xfId="0" applyNumberFormat="1" applyFont="1" applyFill="1" applyBorder="1"/>
    <xf numFmtId="0" fontId="5" fillId="3" borderId="32" xfId="0" applyFont="1" applyFill="1" applyBorder="1"/>
    <xf numFmtId="165" fontId="5" fillId="3" borderId="32" xfId="0" applyNumberFormat="1" applyFont="1" applyFill="1" applyBorder="1" applyAlignment="1">
      <alignment horizontal="right"/>
    </xf>
    <xf numFmtId="164" fontId="18" fillId="3" borderId="32" xfId="0" applyNumberFormat="1" applyFont="1" applyFill="1" applyBorder="1" applyAlignment="1">
      <alignment horizontal="right"/>
    </xf>
    <xf numFmtId="164" fontId="18" fillId="3" borderId="33" xfId="0" applyNumberFormat="1" applyFont="1" applyFill="1" applyBorder="1" applyAlignment="1">
      <alignment horizontal="right"/>
    </xf>
    <xf numFmtId="49" fontId="5" fillId="3" borderId="15" xfId="0" applyNumberFormat="1" applyFont="1" applyFill="1" applyBorder="1" applyProtection="1"/>
    <xf numFmtId="0" fontId="5" fillId="3" borderId="16" xfId="0" applyFont="1" applyFill="1" applyBorder="1" applyProtection="1"/>
    <xf numFmtId="165" fontId="5" fillId="3" borderId="16" xfId="0" applyNumberFormat="1" applyFont="1" applyFill="1" applyBorder="1" applyAlignment="1" applyProtection="1">
      <alignment horizontal="right"/>
    </xf>
    <xf numFmtId="164" fontId="18" fillId="3" borderId="16" xfId="1" applyNumberFormat="1" applyFont="1" applyFill="1" applyBorder="1" applyAlignment="1" applyProtection="1">
      <alignment horizontal="right"/>
    </xf>
    <xf numFmtId="164" fontId="18" fillId="3" borderId="17" xfId="1" applyNumberFormat="1" applyFont="1" applyFill="1" applyBorder="1" applyAlignment="1" applyProtection="1">
      <alignment horizontal="right"/>
    </xf>
    <xf numFmtId="3" fontId="5" fillId="3" borderId="16" xfId="0" applyNumberFormat="1" applyFont="1" applyFill="1" applyBorder="1" applyProtection="1"/>
    <xf numFmtId="4" fontId="5" fillId="3" borderId="16" xfId="0" applyNumberFormat="1" applyFont="1" applyFill="1" applyBorder="1" applyAlignment="1" applyProtection="1">
      <alignment horizontal="right"/>
    </xf>
    <xf numFmtId="164" fontId="18" fillId="3" borderId="16" xfId="0" applyNumberFormat="1" applyFont="1" applyFill="1" applyBorder="1" applyAlignment="1" applyProtection="1">
      <alignment horizontal="right"/>
    </xf>
    <xf numFmtId="164" fontId="18" fillId="3" borderId="17" xfId="0" applyNumberFormat="1" applyFont="1" applyFill="1" applyBorder="1" applyAlignment="1" applyProtection="1">
      <alignment horizontal="right"/>
    </xf>
    <xf numFmtId="49" fontId="0" fillId="3" borderId="9" xfId="0" applyNumberFormat="1" applyFont="1" applyFill="1" applyBorder="1" applyProtection="1"/>
    <xf numFmtId="0" fontId="0" fillId="3" borderId="0" xfId="0" applyFont="1" applyFill="1" applyBorder="1" applyProtection="1"/>
    <xf numFmtId="0" fontId="0" fillId="3" borderId="0" xfId="0" applyFont="1" applyFill="1" applyBorder="1" applyAlignment="1" applyProtection="1">
      <alignment horizontal="right"/>
    </xf>
    <xf numFmtId="164" fontId="17" fillId="3" borderId="0" xfId="0" applyNumberFormat="1" applyFont="1" applyFill="1" applyBorder="1" applyAlignment="1" applyProtection="1">
      <alignment horizontal="right"/>
    </xf>
    <xf numFmtId="164" fontId="17" fillId="3" borderId="13" xfId="0" applyNumberFormat="1" applyFont="1" applyFill="1" applyBorder="1" applyAlignment="1" applyProtection="1">
      <alignment horizontal="right"/>
    </xf>
    <xf numFmtId="49" fontId="5" fillId="3" borderId="31" xfId="0" applyNumberFormat="1" applyFont="1" applyFill="1" applyBorder="1" applyProtection="1"/>
    <xf numFmtId="0" fontId="5" fillId="3" borderId="32" xfId="0" applyFont="1" applyFill="1" applyBorder="1" applyProtection="1"/>
    <xf numFmtId="165" fontId="5" fillId="3" borderId="32" xfId="0" applyNumberFormat="1" applyFont="1" applyFill="1" applyBorder="1" applyAlignment="1" applyProtection="1">
      <alignment horizontal="right"/>
    </xf>
    <xf numFmtId="164" fontId="18" fillId="3" borderId="32" xfId="0" applyNumberFormat="1" applyFont="1" applyFill="1" applyBorder="1" applyAlignment="1" applyProtection="1">
      <alignment horizontal="right"/>
    </xf>
    <xf numFmtId="164" fontId="18" fillId="3" borderId="33" xfId="0" applyNumberFormat="1" applyFont="1" applyFill="1" applyBorder="1" applyAlignment="1" applyProtection="1">
      <alignment horizontal="right"/>
    </xf>
    <xf numFmtId="0" fontId="3" fillId="4" borderId="2" xfId="0" applyFont="1" applyFill="1" applyBorder="1" applyAlignment="1" applyProtection="1">
      <alignment horizontal="right"/>
    </xf>
    <xf numFmtId="0" fontId="1" fillId="4" borderId="2" xfId="0" applyFont="1" applyFill="1" applyBorder="1" applyAlignment="1" applyProtection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/>
    </xf>
    <xf numFmtId="0" fontId="0" fillId="0" borderId="16" xfId="0" applyFont="1" applyFill="1" applyBorder="1" applyAlignment="1" applyProtection="1"/>
    <xf numFmtId="14" fontId="19" fillId="0" borderId="16" xfId="0" applyNumberFormat="1" applyFont="1" applyBorder="1" applyAlignment="1" applyProtection="1">
      <alignment horizontal="right"/>
    </xf>
    <xf numFmtId="0" fontId="1" fillId="0" borderId="17" xfId="0" applyFont="1" applyBorder="1" applyAlignment="1" applyProtection="1">
      <alignment horizontal="right"/>
    </xf>
    <xf numFmtId="49" fontId="0" fillId="3" borderId="18" xfId="0" applyNumberFormat="1" applyFill="1" applyBorder="1" applyProtection="1"/>
    <xf numFmtId="0" fontId="0" fillId="3" borderId="19" xfId="0" applyFill="1" applyBorder="1" applyProtection="1"/>
    <xf numFmtId="0" fontId="0" fillId="3" borderId="20" xfId="0" applyFill="1" applyBorder="1" applyProtection="1"/>
    <xf numFmtId="49" fontId="0" fillId="3" borderId="18" xfId="0" applyNumberFormat="1" applyFill="1" applyBorder="1"/>
    <xf numFmtId="3" fontId="0" fillId="3" borderId="19" xfId="0" applyNumberFormat="1" applyFill="1" applyBorder="1" applyProtection="1">
      <protection locked="0"/>
    </xf>
    <xf numFmtId="0" fontId="0" fillId="3" borderId="19" xfId="0" applyFill="1" applyBorder="1"/>
    <xf numFmtId="4" fontId="0" fillId="3" borderId="19" xfId="0" applyNumberFormat="1" applyFill="1" applyBorder="1" applyProtection="1">
      <protection locked="0"/>
    </xf>
    <xf numFmtId="164" fontId="6" fillId="3" borderId="19" xfId="1" applyNumberFormat="1" applyFont="1" applyFill="1" applyBorder="1" applyAlignment="1">
      <alignment horizontal="right"/>
    </xf>
    <xf numFmtId="4" fontId="6" fillId="3" borderId="19" xfId="1" applyNumberFormat="1" applyFont="1" applyFill="1" applyBorder="1" applyAlignment="1">
      <alignment horizontal="right"/>
    </xf>
    <xf numFmtId="0" fontId="1" fillId="4" borderId="8" xfId="0" applyFont="1" applyFill="1" applyBorder="1"/>
    <xf numFmtId="0" fontId="29" fillId="7" borderId="0" xfId="2" applyFont="1" applyFill="1" applyAlignment="1" applyProtection="1">
      <alignment horizontal="center"/>
      <protection locked="0"/>
    </xf>
    <xf numFmtId="0" fontId="5" fillId="3" borderId="33" xfId="0" applyFont="1" applyFill="1" applyBorder="1"/>
    <xf numFmtId="3" fontId="5" fillId="3" borderId="32" xfId="0" applyNumberFormat="1" applyFont="1" applyFill="1" applyBorder="1" applyProtection="1"/>
    <xf numFmtId="4" fontId="5" fillId="3" borderId="32" xfId="0" applyNumberFormat="1" applyFont="1" applyFill="1" applyBorder="1" applyAlignment="1" applyProtection="1">
      <alignment horizontal="right"/>
    </xf>
    <xf numFmtId="49" fontId="1" fillId="3" borderId="15" xfId="0" applyNumberFormat="1" applyFont="1" applyFill="1" applyBorder="1" applyProtection="1"/>
    <xf numFmtId="0" fontId="1" fillId="3" borderId="16" xfId="0" applyFont="1" applyFill="1" applyBorder="1" applyProtection="1"/>
    <xf numFmtId="165" fontId="1" fillId="3" borderId="16" xfId="0" applyNumberFormat="1" applyFont="1" applyFill="1" applyBorder="1" applyAlignment="1" applyProtection="1">
      <alignment horizontal="right"/>
    </xf>
    <xf numFmtId="0" fontId="1" fillId="3" borderId="17" xfId="0" applyFont="1" applyFill="1" applyBorder="1"/>
    <xf numFmtId="49" fontId="0" fillId="3" borderId="10" xfId="0" applyNumberFormat="1" applyFont="1" applyFill="1" applyBorder="1" applyProtection="1"/>
    <xf numFmtId="0" fontId="0" fillId="3" borderId="1" xfId="0" applyFont="1" applyFill="1" applyBorder="1" applyAlignment="1" applyProtection="1">
      <alignment horizontal="left"/>
    </xf>
    <xf numFmtId="165" fontId="0" fillId="3" borderId="1" xfId="0" applyNumberFormat="1" applyFont="1" applyFill="1" applyBorder="1" applyProtection="1"/>
    <xf numFmtId="0" fontId="0" fillId="3" borderId="14" xfId="0" applyFont="1" applyFill="1" applyBorder="1"/>
    <xf numFmtId="0" fontId="0" fillId="5" borderId="4" xfId="0" applyFont="1" applyFill="1" applyBorder="1" applyAlignment="1" applyProtection="1">
      <protection locked="0"/>
    </xf>
    <xf numFmtId="0" fontId="0" fillId="5" borderId="5" xfId="0" applyFill="1" applyBorder="1" applyAlignment="1" applyProtection="1">
      <protection locked="0"/>
    </xf>
    <xf numFmtId="0" fontId="0" fillId="5" borderId="6" xfId="0" applyFill="1" applyBorder="1" applyAlignment="1" applyProtection="1">
      <protection locked="0"/>
    </xf>
    <xf numFmtId="0" fontId="9" fillId="6" borderId="16" xfId="0" applyFont="1" applyFill="1" applyBorder="1" applyAlignment="1" applyProtection="1">
      <protection locked="0"/>
    </xf>
    <xf numFmtId="0" fontId="0" fillId="6" borderId="16" xfId="0" applyFont="1" applyFill="1" applyBorder="1" applyAlignment="1" applyProtection="1">
      <protection locked="0"/>
    </xf>
    <xf numFmtId="0" fontId="9" fillId="6" borderId="2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protection locked="0"/>
    </xf>
    <xf numFmtId="0" fontId="1" fillId="4" borderId="2" xfId="0" applyFont="1" applyFill="1" applyBorder="1" applyAlignment="1">
      <alignment horizontal="center"/>
    </xf>
    <xf numFmtId="0" fontId="0" fillId="5" borderId="34" xfId="0" applyFont="1" applyFill="1" applyBorder="1" applyAlignment="1" applyProtection="1">
      <protection locked="0"/>
    </xf>
    <xf numFmtId="0" fontId="0" fillId="5" borderId="35" xfId="0" applyFill="1" applyBorder="1" applyAlignment="1" applyProtection="1">
      <protection locked="0"/>
    </xf>
    <xf numFmtId="0" fontId="0" fillId="5" borderId="36" xfId="0" applyFill="1" applyBorder="1" applyAlignment="1" applyProtection="1">
      <protection locked="0"/>
    </xf>
    <xf numFmtId="0" fontId="0" fillId="5" borderId="23" xfId="0" applyFont="1" applyFill="1" applyBorder="1" applyAlignment="1" applyProtection="1">
      <protection locked="0"/>
    </xf>
    <xf numFmtId="0" fontId="0" fillId="5" borderId="0" xfId="0" applyFill="1" applyAlignment="1" applyProtection="1">
      <protection locked="0"/>
    </xf>
    <xf numFmtId="0" fontId="0" fillId="5" borderId="24" xfId="0" applyFill="1" applyBorder="1" applyAlignment="1" applyProtection="1">
      <protection locked="0"/>
    </xf>
    <xf numFmtId="0" fontId="9" fillId="0" borderId="16" xfId="0" applyFont="1" applyFill="1" applyBorder="1" applyAlignment="1" applyProtection="1"/>
    <xf numFmtId="0" fontId="0" fillId="0" borderId="16" xfId="0" applyFont="1" applyFill="1" applyBorder="1" applyAlignment="1" applyProtection="1"/>
    <xf numFmtId="0" fontId="9" fillId="0" borderId="2" xfId="0" applyFont="1" applyFill="1" applyBorder="1" applyAlignment="1" applyProtection="1"/>
    <xf numFmtId="0" fontId="0" fillId="0" borderId="2" xfId="0" applyFont="1" applyFill="1" applyBorder="1" applyAlignment="1" applyProtection="1"/>
    <xf numFmtId="0" fontId="0" fillId="5" borderId="21" xfId="0" applyFont="1" applyFill="1" applyBorder="1" applyAlignment="1" applyProtection="1">
      <protection locked="0"/>
    </xf>
    <xf numFmtId="0" fontId="0" fillId="5" borderId="16" xfId="0" applyFill="1" applyBorder="1" applyAlignment="1" applyProtection="1">
      <protection locked="0"/>
    </xf>
    <xf numFmtId="0" fontId="0" fillId="5" borderId="22" xfId="0" applyFill="1" applyBorder="1" applyAlignment="1" applyProtection="1">
      <protection locked="0"/>
    </xf>
    <xf numFmtId="0" fontId="0" fillId="5" borderId="25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5" borderId="26" xfId="0" applyFill="1" applyBorder="1" applyAlignment="1" applyProtection="1">
      <protection locked="0"/>
    </xf>
    <xf numFmtId="0" fontId="0" fillId="3" borderId="19" xfId="0" applyFont="1" applyFill="1" applyBorder="1" applyAlignment="1" applyProtection="1"/>
    <xf numFmtId="0" fontId="0" fillId="3" borderId="19" xfId="0" applyFill="1" applyBorder="1" applyAlignment="1" applyProtection="1"/>
    <xf numFmtId="0" fontId="0" fillId="6" borderId="21" xfId="0" applyFont="1" applyFill="1" applyBorder="1" applyAlignment="1" applyProtection="1">
      <protection locked="0"/>
    </xf>
    <xf numFmtId="0" fontId="0" fillId="6" borderId="16" xfId="0" applyFill="1" applyBorder="1" applyAlignment="1" applyProtection="1">
      <protection locked="0"/>
    </xf>
    <xf numFmtId="0" fontId="0" fillId="6" borderId="22" xfId="0" applyFill="1" applyBorder="1" applyAlignment="1" applyProtection="1">
      <protection locked="0"/>
    </xf>
    <xf numFmtId="0" fontId="0" fillId="6" borderId="4" xfId="0" applyFont="1" applyFill="1" applyBorder="1" applyAlignment="1" applyProtection="1">
      <protection locked="0"/>
    </xf>
    <xf numFmtId="0" fontId="0" fillId="6" borderId="5" xfId="0" applyFill="1" applyBorder="1" applyAlignment="1" applyProtection="1">
      <protection locked="0"/>
    </xf>
    <xf numFmtId="0" fontId="0" fillId="6" borderId="6" xfId="0" applyFill="1" applyBorder="1" applyAlignment="1" applyProtection="1">
      <protection locked="0"/>
    </xf>
    <xf numFmtId="0" fontId="0" fillId="6" borderId="23" xfId="0" applyFont="1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0" fillId="6" borderId="24" xfId="0" applyFill="1" applyBorder="1" applyAlignment="1" applyProtection="1">
      <protection locked="0"/>
    </xf>
    <xf numFmtId="0" fontId="0" fillId="0" borderId="0" xfId="0" applyFill="1" applyBorder="1" applyAlignment="1" applyProtection="1"/>
    <xf numFmtId="0" fontId="0" fillId="0" borderId="27" xfId="0" applyFont="1" applyFill="1" applyBorder="1" applyAlignment="1" applyProtection="1">
      <protection locked="0"/>
    </xf>
    <xf numFmtId="0" fontId="0" fillId="0" borderId="27" xfId="0" applyFill="1" applyBorder="1" applyAlignment="1" applyProtection="1">
      <protection locked="0"/>
    </xf>
    <xf numFmtId="0" fontId="0" fillId="6" borderId="28" xfId="0" applyFont="1" applyFill="1" applyBorder="1" applyAlignment="1" applyProtection="1">
      <protection locked="0"/>
    </xf>
    <xf numFmtId="0" fontId="0" fillId="6" borderId="29" xfId="0" applyFill="1" applyBorder="1" applyAlignment="1" applyProtection="1">
      <protection locked="0"/>
    </xf>
    <xf numFmtId="0" fontId="0" fillId="6" borderId="30" xfId="0" applyFill="1" applyBorder="1" applyAlignment="1" applyProtection="1">
      <protection locked="0"/>
    </xf>
    <xf numFmtId="0" fontId="1" fillId="4" borderId="2" xfId="0" applyFont="1" applyFill="1" applyBorder="1" applyAlignment="1" applyProtection="1">
      <alignment horizontal="center"/>
    </xf>
    <xf numFmtId="0" fontId="0" fillId="6" borderId="5" xfId="0" applyFont="1" applyFill="1" applyBorder="1" applyAlignment="1" applyProtection="1">
      <protection locked="0"/>
    </xf>
    <xf numFmtId="0" fontId="0" fillId="6" borderId="6" xfId="0" applyFont="1" applyFill="1" applyBorder="1" applyAlignment="1" applyProtection="1">
      <protection locked="0"/>
    </xf>
    <xf numFmtId="0" fontId="0" fillId="0" borderId="23" xfId="0" applyFont="1" applyFill="1" applyBorder="1" applyAlignment="1" applyProtection="1"/>
    <xf numFmtId="0" fontId="0" fillId="0" borderId="0" xfId="0" applyFill="1" applyAlignment="1" applyProtection="1"/>
    <xf numFmtId="0" fontId="0" fillId="0" borderId="24" xfId="0" applyFill="1" applyBorder="1" applyAlignment="1" applyProtection="1"/>
    <xf numFmtId="0" fontId="0" fillId="0" borderId="0" xfId="0" applyFont="1" applyFill="1" applyBorder="1" applyAlignment="1" applyProtection="1"/>
    <xf numFmtId="0" fontId="0" fillId="6" borderId="0" xfId="0" applyFont="1" applyFill="1" applyAlignment="1" applyProtection="1">
      <protection locked="0"/>
    </xf>
    <xf numFmtId="0" fontId="0" fillId="6" borderId="24" xfId="0" applyFont="1" applyFill="1" applyBorder="1" applyAlignment="1" applyProtection="1">
      <protection locked="0"/>
    </xf>
    <xf numFmtId="0" fontId="5" fillId="3" borderId="19" xfId="0" applyFont="1" applyFill="1" applyBorder="1" applyAlignment="1" applyProtection="1"/>
    <xf numFmtId="0" fontId="0" fillId="0" borderId="3" xfId="0" applyFont="1" applyFill="1" applyBorder="1" applyAlignment="1" applyProtection="1"/>
    <xf numFmtId="0" fontId="0" fillId="0" borderId="3" xfId="0" applyFill="1" applyBorder="1" applyAlignment="1" applyProtection="1"/>
    <xf numFmtId="0" fontId="5" fillId="4" borderId="0" xfId="0" applyFont="1" applyFill="1" applyBorder="1" applyAlignment="1" applyProtection="1"/>
  </cellXfs>
  <cellStyles count="3">
    <cellStyle name="Link" xfId="2" builtinId="8"/>
    <cellStyle name="Prozent" xfId="1" builtinId="5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  <color rgb="FF99CC00"/>
      <color rgb="FF003366"/>
      <color rgb="FFE2EFDA"/>
      <color rgb="FFCCFF99"/>
      <color rgb="FFFFFF66"/>
      <color rgb="FFFFFF99"/>
      <color rgb="FF43682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de-AT" sz="1600" b="0">
                <a:solidFill>
                  <a:schemeClr val="bg1">
                    <a:lumMod val="50000"/>
                  </a:schemeClr>
                </a:solidFill>
                <a:latin typeface="+mj-lt"/>
              </a:rPr>
              <a:t>LIQUIDITÄT</a:t>
            </a:r>
          </a:p>
        </c:rich>
      </c:tx>
      <c:layout>
        <c:manualLayout>
          <c:xMode val="edge"/>
          <c:yMode val="edge"/>
          <c:x val="9.0608312245220313E-3"/>
          <c:y val="1.7309711286089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215497572607346"/>
          <c:y val="0.20671499297185009"/>
          <c:w val="0.73569004854785314"/>
          <c:h val="0.749841089176649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'Quick Check'!$B$8</c:f>
              <c:strCache>
                <c:ptCount val="1"/>
                <c:pt idx="0">
                  <c:v>Geldfluss aus betrieblicher Tätigkeit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'Quick Check'!$C$6:$G$6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'Quick Check'!$C$8:$G$8</c:f>
              <c:numCache>
                <c:formatCode>"€"#,##0_);[Red]\("€"#,##0\)</c:formatCode>
                <c:ptCount val="5"/>
                <c:pt idx="0">
                  <c:v>4972.5</c:v>
                </c:pt>
                <c:pt idx="1">
                  <c:v>5820.8734071449562</c:v>
                </c:pt>
                <c:pt idx="2">
                  <c:v>7793.8230165042623</c:v>
                </c:pt>
                <c:pt idx="3">
                  <c:v>9391.3361141443474</c:v>
                </c:pt>
                <c:pt idx="4">
                  <c:v>12938.399604713635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F-47AC-B8FF-11CD7FC20555}"/>
            </c:ext>
          </c:extLst>
        </c:ser>
        <c:ser>
          <c:idx val="2"/>
          <c:order val="2"/>
          <c:tx>
            <c:strRef>
              <c:f>'Quick Check'!$B$9</c:f>
              <c:strCache>
                <c:ptCount val="1"/>
                <c:pt idx="0">
                  <c:v>Geldfluss aus Investitionstätigkeit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'Quick Check'!$C$6:$G$6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'Quick Check'!$C$9:$G$9</c:f>
              <c:numCache>
                <c:formatCode>"€"#,##0_);[Red]\("€"#,##0\)</c:formatCode>
                <c:ptCount val="5"/>
                <c:pt idx="0">
                  <c:v>-25000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F-47AC-B8FF-11CD7FC20555}"/>
            </c:ext>
          </c:extLst>
        </c:ser>
        <c:ser>
          <c:idx val="3"/>
          <c:order val="3"/>
          <c:tx>
            <c:strRef>
              <c:f>'Quick Check'!$B$10</c:f>
              <c:strCache>
                <c:ptCount val="1"/>
                <c:pt idx="0">
                  <c:v>Geldfluss aus Finanzierungstätigkeit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'Quick Check'!$C$6:$G$6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'Quick Check'!$C$10:$G$10</c:f>
              <c:numCache>
                <c:formatCode>"€"#,##0_);[Red]\("€"#,##0\)</c:formatCode>
                <c:ptCount val="5"/>
                <c:pt idx="0">
                  <c:v>29426.454285994238</c:v>
                </c:pt>
                <c:pt idx="1">
                  <c:v>-2573.5457140057606</c:v>
                </c:pt>
                <c:pt idx="2">
                  <c:v>-2573.5457140057606</c:v>
                </c:pt>
                <c:pt idx="3">
                  <c:v>-2573.5457140057606</c:v>
                </c:pt>
                <c:pt idx="4">
                  <c:v>-2573.5457140057606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BF-47AC-B8FF-11CD7FC20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60296728"/>
        <c:axId val="560297056"/>
      </c:barChart>
      <c:lineChart>
        <c:grouping val="standard"/>
        <c:varyColors val="0"/>
        <c:ser>
          <c:idx val="0"/>
          <c:order val="0"/>
          <c:tx>
            <c:strRef>
              <c:f>'Quick Check'!$B$7</c:f>
              <c:strCache>
                <c:ptCount val="1"/>
                <c:pt idx="0">
                  <c:v>Liquiditätsentwicklung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solidFill>
                  <a:schemeClr val="accent1">
                    <a:alpha val="93000"/>
                  </a:schemeClr>
                </a:solidFill>
              </a:ln>
              <a:effectLst/>
            </c:spPr>
          </c:marker>
          <c:cat>
            <c:numRef>
              <c:f>'Quick Check'!$C$6:$G$6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'Quick Check'!$C$7:$G$7</c:f>
              <c:numCache>
                <c:formatCode>"€"#,##0_);[Red]\("€"#,##0\)</c:formatCode>
                <c:ptCount val="5"/>
                <c:pt idx="0">
                  <c:v>9398.9542859942376</c:v>
                </c:pt>
                <c:pt idx="1">
                  <c:v>12646.281979133433</c:v>
                </c:pt>
                <c:pt idx="2">
                  <c:v>17866.559281631933</c:v>
                </c:pt>
                <c:pt idx="3">
                  <c:v>24684.34968177052</c:v>
                </c:pt>
                <c:pt idx="4">
                  <c:v>35049.203572478393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F-47AC-B8FF-11CD7FC20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245560"/>
        <c:axId val="560248184"/>
      </c:lineChart>
      <c:catAx>
        <c:axId val="560296728"/>
        <c:scaling>
          <c:orientation val="minMax"/>
        </c:scaling>
        <c:delete val="0"/>
        <c:axPos val="b"/>
        <c:numFmt formatCode="General" sourceLinked="0"/>
        <c:majorTickMark val="cross"/>
        <c:minorTickMark val="cross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297056"/>
        <c:crosses val="autoZero"/>
        <c:auto val="1"/>
        <c:lblAlgn val="ctr"/>
        <c:lblOffset val="100"/>
        <c:tickLblSkip val="1"/>
        <c:noMultiLvlLbl val="0"/>
      </c:catAx>
      <c:valAx>
        <c:axId val="56029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€&quot;#,##0_);[Red]\(&quot;€&quot;#,##0\)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296728"/>
        <c:crosses val="autoZero"/>
        <c:crossBetween val="between"/>
      </c:valAx>
      <c:valAx>
        <c:axId val="560248184"/>
        <c:scaling>
          <c:orientation val="minMax"/>
        </c:scaling>
        <c:delete val="0"/>
        <c:axPos val="r"/>
        <c:numFmt formatCode="&quot;€&quot;#,##0_);[Red]\(&quot;€&quot;#,##0\)" sourceLinked="0"/>
        <c:majorTickMark val="cross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245560"/>
        <c:crosses val="max"/>
        <c:crossBetween val="between"/>
      </c:valAx>
      <c:catAx>
        <c:axId val="560245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0248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45670302123664"/>
          <c:y val="3.5446551054230009E-2"/>
          <c:w val="0.70008977337362854"/>
          <c:h val="0.11602397887575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6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+mj-lt"/>
                <a:ea typeface="+mj-ea"/>
                <a:cs typeface="+mj-cs"/>
              </a:rPr>
              <a:t>WIRTSCHAFTLICHKEIT</a:t>
            </a:r>
          </a:p>
        </c:rich>
      </c:tx>
      <c:layout>
        <c:manualLayout>
          <c:xMode val="edge"/>
          <c:yMode val="edge"/>
          <c:x val="1.7951165195259685E-2"/>
          <c:y val="1.0654639916585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7351159230096239"/>
          <c:y val="0.21185057347283642"/>
          <c:w val="0.72312948381452313"/>
          <c:h val="0.68427803545104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'Quick Check'!$B$12</c:f>
              <c:strCache>
                <c:ptCount val="1"/>
                <c:pt idx="0">
                  <c:v>Umsatzerlöse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'Quick Check'!$C$11:$G$11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'Quick Check'!$C$12:$G$12</c:f>
              <c:numCache>
                <c:formatCode>"€"#,##0_);[Red]\("€"#,##0\)</c:formatCode>
                <c:ptCount val="5"/>
                <c:pt idx="0">
                  <c:v>10000</c:v>
                </c:pt>
                <c:pt idx="1">
                  <c:v>14000</c:v>
                </c:pt>
                <c:pt idx="2">
                  <c:v>18000</c:v>
                </c:pt>
                <c:pt idx="3">
                  <c:v>22000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E-4DB8-9CC3-DF67F1C6A813}"/>
            </c:ext>
          </c:extLst>
        </c:ser>
        <c:ser>
          <c:idx val="1"/>
          <c:order val="1"/>
          <c:tx>
            <c:strRef>
              <c:f>'Quick Check'!$B$13</c:f>
              <c:strCache>
                <c:ptCount val="1"/>
                <c:pt idx="0">
                  <c:v>Rohertrag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'Quick Check'!$C$11:$G$11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'Quick Check'!$C$13:$G$13</c:f>
              <c:numCache>
                <c:formatCode>"€"#,##0_);[Red]\("€"#,##0\)</c:formatCode>
                <c:ptCount val="5"/>
                <c:pt idx="0">
                  <c:v>7300</c:v>
                </c:pt>
                <c:pt idx="1">
                  <c:v>9950</c:v>
                </c:pt>
                <c:pt idx="2">
                  <c:v>12600</c:v>
                </c:pt>
                <c:pt idx="3">
                  <c:v>15250</c:v>
                </c:pt>
                <c:pt idx="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E-4DB8-9CC3-DF67F1C6A813}"/>
            </c:ext>
          </c:extLst>
        </c:ser>
        <c:ser>
          <c:idx val="2"/>
          <c:order val="2"/>
          <c:tx>
            <c:strRef>
              <c:f>'Quick Check'!$B$14</c:f>
              <c:strCache>
                <c:ptCount val="1"/>
                <c:pt idx="0">
                  <c:v>Ergebnis vor Steuern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'Quick Check'!$C$11:$G$11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'Quick Check'!$C$14:$G$14</c:f>
              <c:numCache>
                <c:formatCode>"€"#,##0_);[Red]\("€"#,##0\)</c:formatCode>
                <c:ptCount val="5"/>
                <c:pt idx="0">
                  <c:v>1310</c:v>
                </c:pt>
                <c:pt idx="1">
                  <c:v>2516.5063714201729</c:v>
                </c:pt>
                <c:pt idx="2">
                  <c:v>5224.7079339829506</c:v>
                </c:pt>
                <c:pt idx="3">
                  <c:v>7434.655543422612</c:v>
                </c:pt>
                <c:pt idx="4">
                  <c:v>12246.401581145463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8E-4DB8-9CC3-DF67F1C6A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43746256"/>
        <c:axId val="543745272"/>
      </c:barChart>
      <c:lineChart>
        <c:grouping val="standard"/>
        <c:varyColors val="0"/>
        <c:ser>
          <c:idx val="3"/>
          <c:order val="3"/>
          <c:tx>
            <c:strRef>
              <c:f>'Quick Check'!$B$15</c:f>
              <c:strCache>
                <c:ptCount val="1"/>
                <c:pt idx="0">
                  <c:v>Rohertrag-Spanne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3682B"/>
              </a:solidFill>
              <a:ln>
                <a:noFill/>
              </a:ln>
              <a:effectLst/>
            </c:spPr>
          </c:marker>
          <c:cat>
            <c:numRef>
              <c:f>'Quick Check'!$C$11:$G$11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'Quick Check'!$C$15:$G$15</c:f>
              <c:numCache>
                <c:formatCode>0.0%</c:formatCode>
                <c:ptCount val="5"/>
                <c:pt idx="0">
                  <c:v>0.73</c:v>
                </c:pt>
                <c:pt idx="1">
                  <c:v>0.71071428571428574</c:v>
                </c:pt>
                <c:pt idx="2">
                  <c:v>0.7</c:v>
                </c:pt>
                <c:pt idx="3">
                  <c:v>0.69318181818181823</c:v>
                </c:pt>
                <c:pt idx="4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8E-4DB8-9CC3-DF67F1C6A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753472"/>
        <c:axId val="543756752"/>
      </c:lineChart>
      <c:catAx>
        <c:axId val="54374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745272"/>
        <c:crosses val="autoZero"/>
        <c:auto val="1"/>
        <c:lblAlgn val="ctr"/>
        <c:lblOffset val="100"/>
        <c:noMultiLvlLbl val="0"/>
      </c:catAx>
      <c:valAx>
        <c:axId val="54374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€&quot;#,##0_);[Red]\(&quot;€&quot;#,##0\)" sourceLinked="0"/>
        <c:majorTickMark val="cross"/>
        <c:minorTickMark val="none"/>
        <c:tickLblPos val="nextTo"/>
        <c:spPr>
          <a:noFill/>
          <a:ln>
            <a:solidFill>
              <a:schemeClr val="accent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746256"/>
        <c:crosses val="autoZero"/>
        <c:crossBetween val="between"/>
      </c:valAx>
      <c:valAx>
        <c:axId val="543756752"/>
        <c:scaling>
          <c:orientation val="minMax"/>
        </c:scaling>
        <c:delete val="0"/>
        <c:axPos val="r"/>
        <c:numFmt formatCode="0%" sourceLinked="0"/>
        <c:majorTickMark val="out"/>
        <c:minorTickMark val="cross"/>
        <c:tickLblPos val="nextTo"/>
        <c:spPr>
          <a:noFill/>
          <a:ln>
            <a:solidFill>
              <a:srgbClr val="43682B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753472"/>
        <c:crosses val="max"/>
        <c:crossBetween val="between"/>
      </c:valAx>
      <c:catAx>
        <c:axId val="54375347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4375675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3061033541691907"/>
          <c:y val="2.9057455146873763E-2"/>
          <c:w val="0.55805645751009514"/>
          <c:h val="0.14948592632817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600">
                <a:solidFill>
                  <a:schemeClr val="bg1">
                    <a:lumMod val="50000"/>
                  </a:schemeClr>
                </a:solidFill>
                <a:latin typeface="+mj-lt"/>
              </a:rPr>
              <a:t>KAPITALSTRUKTUR</a:t>
            </a:r>
          </a:p>
        </c:rich>
      </c:tx>
      <c:layout>
        <c:manualLayout>
          <c:xMode val="edge"/>
          <c:yMode val="edge"/>
          <c:x val="3.9446152856111916E-2"/>
          <c:y val="3.4013605442176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+mj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106577308309307"/>
          <c:y val="3.968253968253968E-2"/>
          <c:w val="0.48861646234676009"/>
          <c:h val="0.948979591836734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A6-48BE-A95D-D553FC0D6AF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A6-48BE-A95D-D553FC0D6AF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A6-48BE-A95D-D553FC0D6AF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A6-48BE-A95D-D553FC0D6A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'Quick Check'!$B$17:$B$20</c:f>
              <c:strCache>
                <c:ptCount val="4"/>
                <c:pt idx="0">
                  <c:v>Geschäftsanteilskapital</c:v>
                </c:pt>
                <c:pt idx="1">
                  <c:v>Investitionszuschüsse</c:v>
                </c:pt>
                <c:pt idx="2">
                  <c:v>Alternative Finanzierungen</c:v>
                </c:pt>
                <c:pt idx="3">
                  <c:v>Kredite</c:v>
                </c:pt>
              </c:strCache>
            </c:strRef>
          </c:cat>
          <c:val>
            <c:numRef>
              <c:f>'Quick Check'!$C$17:$C$20</c:f>
              <c:numCache>
                <c:formatCode>"€"\ #,##0</c:formatCode>
                <c:ptCount val="4"/>
                <c:pt idx="0">
                  <c:v>10000</c:v>
                </c:pt>
                <c:pt idx="1">
                  <c:v>2000</c:v>
                </c:pt>
                <c:pt idx="2">
                  <c:v>8000</c:v>
                </c:pt>
                <c:pt idx="3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8BE-A95D-D553FC0D6AF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0149298325450125E-2"/>
          <c:y val="0.2675000446372775"/>
          <c:w val="0.48364521422562995"/>
          <c:h val="0.51587837234631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de-AT" sz="1600">
                <a:solidFill>
                  <a:schemeClr val="bg1">
                    <a:lumMod val="50000"/>
                  </a:schemeClr>
                </a:solidFill>
                <a:latin typeface="+mj-lt"/>
              </a:rPr>
              <a:t>AUFWANDSTRUKTUR</a:t>
            </a:r>
          </a:p>
        </c:rich>
      </c:tx>
      <c:layout>
        <c:manualLayout>
          <c:xMode val="edge"/>
          <c:yMode val="edge"/>
          <c:x val="2.6926935614097237E-3"/>
          <c:y val="4.4108191295365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+mj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6399189287847725"/>
          <c:y val="0.15076631987266653"/>
          <c:w val="0.53600810712152269"/>
          <c:h val="0.836577807292160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66-4F84-81FC-F62A49E44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44-4ADF-BA51-F980581B7B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44-4ADF-BA51-F980581B7B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44-4ADF-BA51-F980581B7B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144-4ADF-BA51-F980581B7B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'Quick Check'!$B$21:$B$25</c:f>
              <c:strCache>
                <c:ptCount val="5"/>
                <c:pt idx="0">
                  <c:v>Ø Material / bezogene Leistungen</c:v>
                </c:pt>
                <c:pt idx="1">
                  <c:v>Ø Personal</c:v>
                </c:pt>
                <c:pt idx="2">
                  <c:v>Ø Abschreibungen</c:v>
                </c:pt>
                <c:pt idx="3">
                  <c:v>Ø Zinsen</c:v>
                </c:pt>
                <c:pt idx="4">
                  <c:v>Ø Sonstige Aufwendungen</c:v>
                </c:pt>
              </c:strCache>
            </c:strRef>
          </c:cat>
          <c:val>
            <c:numRef>
              <c:f>'Quick Check'!$C$21:$C$25</c:f>
              <c:numCache>
                <c:formatCode>"€"\ #,##0</c:formatCode>
                <c:ptCount val="5"/>
                <c:pt idx="0">
                  <c:v>5780</c:v>
                </c:pt>
                <c:pt idx="1">
                  <c:v>2200</c:v>
                </c:pt>
                <c:pt idx="2">
                  <c:v>3500</c:v>
                </c:pt>
                <c:pt idx="3">
                  <c:v>573.54571400576015</c:v>
                </c:pt>
                <c:pt idx="4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6-4F84-81FC-F62A49E44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14"/>
        <c:holeSize val="39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14763094372239616"/>
          <c:w val="0.55967247051864999"/>
          <c:h val="0.76011508176862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38100</xdr:rowOff>
    </xdr:from>
    <xdr:to>
      <xdr:col>3</xdr:col>
      <xdr:colOff>1379220</xdr:colOff>
      <xdr:row>18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E00DCEE-E267-4663-9D7F-5347D5664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940777</xdr:colOff>
      <xdr:row>18</xdr:row>
      <xdr:rowOff>38100</xdr:rowOff>
    </xdr:from>
    <xdr:to>
      <xdr:col>7</xdr:col>
      <xdr:colOff>320040</xdr:colOff>
      <xdr:row>29</xdr:row>
      <xdr:rowOff>144780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DEFE9D5-7657-4D5F-98EE-5165AF910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</xdr:colOff>
      <xdr:row>18</xdr:row>
      <xdr:rowOff>38340</xdr:rowOff>
    </xdr:from>
    <xdr:to>
      <xdr:col>2</xdr:col>
      <xdr:colOff>944880</xdr:colOff>
      <xdr:row>29</xdr:row>
      <xdr:rowOff>144780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447A17B-AF5E-41A5-BD91-4D77741BE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1379220</xdr:colOff>
      <xdr:row>4</xdr:row>
      <xdr:rowOff>38100</xdr:rowOff>
    </xdr:from>
    <xdr:to>
      <xdr:col>7</xdr:col>
      <xdr:colOff>320040</xdr:colOff>
      <xdr:row>14</xdr:row>
      <xdr:rowOff>175260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4DED06B-6228-4CF0-B5C2-3F62E6106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ooperieren.at/ansprechpartner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zoomScaleNormal="100" workbookViewId="0">
      <selection activeCell="D3" sqref="D3:H3"/>
    </sheetView>
  </sheetViews>
  <sheetFormatPr baseColWidth="10" defaultRowHeight="14.4" x14ac:dyDescent="0.3"/>
  <cols>
    <col min="1" max="1" width="4.33203125" bestFit="1" customWidth="1"/>
    <col min="2" max="2" width="32.109375" bestFit="1" customWidth="1"/>
    <col min="3" max="3" width="3.6640625" customWidth="1"/>
    <col min="4" max="4" width="13.88671875" customWidth="1"/>
    <col min="8" max="8" width="17.6640625" customWidth="1"/>
    <col min="9" max="9" width="9.88671875" customWidth="1"/>
    <col min="10" max="10" width="16.44140625" customWidth="1"/>
    <col min="11" max="11" width="1.5546875" customWidth="1"/>
  </cols>
  <sheetData>
    <row r="1" spans="1:12" s="115" customFormat="1" ht="23.4" x14ac:dyDescent="0.45">
      <c r="A1" s="115" t="s">
        <v>0</v>
      </c>
      <c r="B1" s="115" t="s">
        <v>1</v>
      </c>
    </row>
    <row r="2" spans="1:12" ht="5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s="1" customFormat="1" ht="15.6" x14ac:dyDescent="0.3">
      <c r="A3" s="237"/>
      <c r="B3" s="238" t="s">
        <v>2</v>
      </c>
      <c r="C3" s="238"/>
      <c r="D3" s="407" t="s">
        <v>151</v>
      </c>
      <c r="E3" s="408"/>
      <c r="F3" s="408"/>
      <c r="G3" s="408"/>
      <c r="H3" s="408"/>
      <c r="I3" s="239"/>
      <c r="J3" s="240"/>
      <c r="K3" s="241"/>
    </row>
    <row r="4" spans="1:12" s="1" customFormat="1" ht="15.6" x14ac:dyDescent="0.3">
      <c r="A4" s="5"/>
      <c r="B4" s="2" t="s">
        <v>3</v>
      </c>
      <c r="C4" s="2"/>
      <c r="D4" s="409" t="s">
        <v>152</v>
      </c>
      <c r="E4" s="410"/>
      <c r="F4" s="410"/>
      <c r="G4" s="410"/>
      <c r="H4" s="410"/>
      <c r="I4" s="2"/>
      <c r="J4" s="2"/>
      <c r="K4" s="12"/>
      <c r="L4" s="4"/>
    </row>
    <row r="5" spans="1:12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13"/>
    </row>
    <row r="6" spans="1:12" s="1" customFormat="1" ht="15.6" x14ac:dyDescent="0.3">
      <c r="A6" s="391" t="s">
        <v>0</v>
      </c>
      <c r="B6" s="244" t="s">
        <v>4</v>
      </c>
      <c r="C6" s="244"/>
      <c r="D6" s="244"/>
      <c r="E6" s="244"/>
      <c r="F6" s="411" t="s">
        <v>18</v>
      </c>
      <c r="G6" s="411"/>
      <c r="H6" s="411"/>
      <c r="I6" s="411"/>
      <c r="J6" s="411"/>
      <c r="K6" s="247"/>
    </row>
    <row r="7" spans="1:12" s="3" customFormat="1" x14ac:dyDescent="0.3">
      <c r="A7" s="8" t="s">
        <v>5</v>
      </c>
      <c r="B7" s="9" t="s">
        <v>6</v>
      </c>
      <c r="C7" s="9"/>
      <c r="D7" s="10" t="s">
        <v>14</v>
      </c>
      <c r="E7" s="260">
        <v>9</v>
      </c>
      <c r="F7" s="412"/>
      <c r="G7" s="413"/>
      <c r="H7" s="413"/>
      <c r="I7" s="413"/>
      <c r="J7" s="414"/>
      <c r="K7" s="14"/>
    </row>
    <row r="8" spans="1:12" s="3" customFormat="1" x14ac:dyDescent="0.3">
      <c r="A8" s="8" t="s">
        <v>8</v>
      </c>
      <c r="B8" s="9" t="s">
        <v>7</v>
      </c>
      <c r="C8" s="9"/>
      <c r="D8" s="10" t="s">
        <v>15</v>
      </c>
      <c r="E8" s="260">
        <v>100</v>
      </c>
      <c r="F8" s="404"/>
      <c r="G8" s="405"/>
      <c r="H8" s="405"/>
      <c r="I8" s="405"/>
      <c r="J8" s="406"/>
      <c r="K8" s="14"/>
    </row>
    <row r="9" spans="1:12" s="3" customFormat="1" x14ac:dyDescent="0.3">
      <c r="A9" s="8" t="s">
        <v>9</v>
      </c>
      <c r="B9" s="9" t="s">
        <v>64</v>
      </c>
      <c r="C9" s="9"/>
      <c r="D9" s="10" t="s">
        <v>14</v>
      </c>
      <c r="E9" s="260">
        <v>100</v>
      </c>
      <c r="F9" s="404"/>
      <c r="G9" s="405"/>
      <c r="H9" s="405"/>
      <c r="I9" s="405"/>
      <c r="J9" s="406"/>
      <c r="K9" s="14"/>
    </row>
    <row r="10" spans="1:12" x14ac:dyDescent="0.3">
      <c r="A10" s="6"/>
      <c r="B10" s="7"/>
      <c r="C10" s="7"/>
      <c r="D10" s="10"/>
      <c r="E10" s="11"/>
      <c r="F10" s="7"/>
      <c r="G10" s="7"/>
      <c r="H10" s="7"/>
      <c r="I10" s="7"/>
      <c r="J10" s="7"/>
      <c r="K10" s="13"/>
    </row>
    <row r="11" spans="1:12" x14ac:dyDescent="0.3">
      <c r="A11" s="8" t="s">
        <v>10</v>
      </c>
      <c r="B11" s="7" t="s">
        <v>11</v>
      </c>
      <c r="C11" s="7"/>
      <c r="D11" s="10" t="s">
        <v>16</v>
      </c>
      <c r="E11" s="253"/>
      <c r="F11" s="404"/>
      <c r="G11" s="405"/>
      <c r="H11" s="405"/>
      <c r="I11" s="405"/>
      <c r="J11" s="406"/>
      <c r="K11" s="13"/>
    </row>
    <row r="12" spans="1:12" x14ac:dyDescent="0.3">
      <c r="A12" s="8" t="s">
        <v>13</v>
      </c>
      <c r="B12" s="7" t="s">
        <v>12</v>
      </c>
      <c r="C12" s="7"/>
      <c r="D12" s="10" t="s">
        <v>17</v>
      </c>
      <c r="E12" s="261"/>
      <c r="F12" s="404"/>
      <c r="G12" s="405"/>
      <c r="H12" s="405"/>
      <c r="I12" s="405"/>
      <c r="J12" s="406"/>
      <c r="K12" s="13"/>
    </row>
    <row r="13" spans="1:12" x14ac:dyDescent="0.3">
      <c r="A13" s="242"/>
      <c r="B13" s="24"/>
      <c r="C13" s="24"/>
      <c r="D13" s="24"/>
      <c r="E13" s="24"/>
      <c r="F13" s="24"/>
      <c r="G13" s="24"/>
      <c r="H13" s="24"/>
      <c r="I13" s="24"/>
      <c r="J13" s="24"/>
      <c r="K13" s="25"/>
    </row>
    <row r="16" spans="1:12" x14ac:dyDescent="0.3">
      <c r="B16" s="90" t="s">
        <v>76</v>
      </c>
    </row>
    <row r="17" spans="2:2" x14ac:dyDescent="0.3">
      <c r="B17" s="89" t="s">
        <v>161</v>
      </c>
    </row>
    <row r="18" spans="2:2" x14ac:dyDescent="0.3">
      <c r="B18" s="89" t="s">
        <v>77</v>
      </c>
    </row>
    <row r="21" spans="2:2" x14ac:dyDescent="0.3">
      <c r="B21" s="392" t="s">
        <v>160</v>
      </c>
    </row>
  </sheetData>
  <sheetProtection password="DCAC" sheet="1" selectLockedCells="1"/>
  <mergeCells count="8">
    <mergeCell ref="F11:J11"/>
    <mergeCell ref="F12:J12"/>
    <mergeCell ref="D3:H3"/>
    <mergeCell ref="D4:H4"/>
    <mergeCell ref="F6:J6"/>
    <mergeCell ref="F7:J7"/>
    <mergeCell ref="F8:J8"/>
    <mergeCell ref="F9:J9"/>
  </mergeCells>
  <phoneticPr fontId="2" type="noConversion"/>
  <hyperlinks>
    <hyperlink ref="B21" r:id="rId1" xr:uid="{00000000-0004-0000-0000-000000000000}"/>
  </hyperlinks>
  <pageMargins left="0.59055118110236227" right="0.59055118110236227" top="1.3779527559055118" bottom="0.59055118110236227" header="0.19685039370078741" footer="0.19685039370078741"/>
  <pageSetup paperSize="9" orientation="landscape" r:id="rId2"/>
  <headerFooter>
    <oddHeader>&amp;R&amp;G</oddHeader>
    <oddFooter>&amp;LGründungskonzept - &amp;A&amp;C&amp;D&amp;RSeite &amp;P von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showGridLines="0" zoomScaleNormal="100" workbookViewId="0">
      <selection activeCell="D7" sqref="D7"/>
    </sheetView>
  </sheetViews>
  <sheetFormatPr baseColWidth="10" defaultRowHeight="14.4" x14ac:dyDescent="0.3"/>
  <cols>
    <col min="1" max="1" width="5.109375" style="17" bestFit="1" customWidth="1"/>
    <col min="2" max="2" width="47.5546875" customWidth="1"/>
    <col min="3" max="3" width="6.33203125" customWidth="1"/>
    <col min="4" max="4" width="21.6640625" customWidth="1"/>
    <col min="5" max="5" width="6.6640625" customWidth="1"/>
    <col min="6" max="6" width="17.88671875" customWidth="1"/>
    <col min="7" max="7" width="11" customWidth="1"/>
    <col min="8" max="8" width="14.44140625" customWidth="1"/>
    <col min="9" max="9" width="3.33203125" customWidth="1"/>
  </cols>
  <sheetData>
    <row r="1" spans="1:10" s="115" customFormat="1" ht="23.4" x14ac:dyDescent="0.45">
      <c r="A1" s="116" t="s">
        <v>19</v>
      </c>
      <c r="B1" s="115" t="s">
        <v>20</v>
      </c>
    </row>
    <row r="2" spans="1:10" ht="5.4" customHeight="1" x14ac:dyDescent="0.3">
      <c r="A2" s="42"/>
      <c r="B2" s="7"/>
      <c r="C2" s="7"/>
      <c r="D2" s="7"/>
      <c r="E2" s="7"/>
      <c r="F2" s="7"/>
      <c r="G2" s="7"/>
      <c r="H2" s="7"/>
      <c r="I2" s="7"/>
    </row>
    <row r="3" spans="1:10" s="1" customFormat="1" ht="15.6" x14ac:dyDescent="0.3">
      <c r="A3" s="259"/>
      <c r="B3" s="238" t="s">
        <v>2</v>
      </c>
      <c r="C3" s="418" t="str">
        <f>+Datenblatt!D3</f>
        <v>Muster eGen</v>
      </c>
      <c r="D3" s="419"/>
      <c r="E3" s="419"/>
      <c r="F3" s="419"/>
      <c r="G3" s="239"/>
      <c r="H3" s="240"/>
      <c r="I3" s="241"/>
    </row>
    <row r="4" spans="1:10" s="1" customFormat="1" ht="15.6" x14ac:dyDescent="0.3">
      <c r="A4" s="18"/>
      <c r="B4" s="2" t="s">
        <v>3</v>
      </c>
      <c r="C4" s="420" t="str">
        <f>+Datenblatt!D4</f>
        <v>PLZ Ort, Straße Nr.</v>
      </c>
      <c r="D4" s="421"/>
      <c r="E4" s="421"/>
      <c r="F4" s="421"/>
      <c r="G4" s="2"/>
      <c r="H4" s="2"/>
      <c r="I4" s="12"/>
      <c r="J4" s="4"/>
    </row>
    <row r="5" spans="1:10" x14ac:dyDescent="0.3">
      <c r="A5" s="20"/>
      <c r="B5" s="21"/>
      <c r="C5" s="21"/>
      <c r="D5" s="21"/>
      <c r="E5" s="53"/>
      <c r="F5" s="21"/>
      <c r="G5" s="21"/>
      <c r="H5" s="21"/>
      <c r="I5" s="22"/>
    </row>
    <row r="6" spans="1:10" s="1" customFormat="1" ht="15.6" x14ac:dyDescent="0.3">
      <c r="A6" s="243" t="s">
        <v>0</v>
      </c>
      <c r="B6" s="244" t="s">
        <v>43</v>
      </c>
      <c r="C6" s="244"/>
      <c r="D6" s="245" t="s">
        <v>45</v>
      </c>
      <c r="E6" s="246" t="s">
        <v>46</v>
      </c>
      <c r="F6" s="411" t="s">
        <v>18</v>
      </c>
      <c r="G6" s="411"/>
      <c r="H6" s="411"/>
      <c r="I6" s="247"/>
    </row>
    <row r="7" spans="1:10" s="3" customFormat="1" x14ac:dyDescent="0.3">
      <c r="A7" s="15" t="s">
        <v>5</v>
      </c>
      <c r="B7" s="16" t="s">
        <v>21</v>
      </c>
      <c r="C7" s="27"/>
      <c r="D7" s="254"/>
      <c r="E7" s="48">
        <f>+D7/$D$24</f>
        <v>0</v>
      </c>
      <c r="F7" s="422"/>
      <c r="G7" s="423"/>
      <c r="H7" s="424"/>
      <c r="I7" s="14"/>
    </row>
    <row r="8" spans="1:10" s="3" customFormat="1" x14ac:dyDescent="0.3">
      <c r="A8" s="15" t="s">
        <v>8</v>
      </c>
      <c r="B8" s="16" t="s">
        <v>22</v>
      </c>
      <c r="C8" s="27"/>
      <c r="D8" s="29">
        <f>SUM(D9:D14)</f>
        <v>24000</v>
      </c>
      <c r="E8" s="48">
        <f t="shared" ref="E8:E24" si="0">+D8/$D$24</f>
        <v>0.8</v>
      </c>
      <c r="F8" s="415"/>
      <c r="G8" s="416"/>
      <c r="H8" s="417"/>
      <c r="I8" s="14"/>
    </row>
    <row r="9" spans="1:10" s="3" customFormat="1" x14ac:dyDescent="0.3">
      <c r="A9" s="8" t="s">
        <v>23</v>
      </c>
      <c r="B9" s="9" t="s">
        <v>24</v>
      </c>
      <c r="C9" s="10"/>
      <c r="D9" s="255"/>
      <c r="E9" s="215">
        <f t="shared" si="0"/>
        <v>0</v>
      </c>
      <c r="F9" s="415"/>
      <c r="G9" s="416"/>
      <c r="H9" s="417"/>
      <c r="I9" s="14"/>
    </row>
    <row r="10" spans="1:10" x14ac:dyDescent="0.3">
      <c r="A10" s="8" t="s">
        <v>25</v>
      </c>
      <c r="B10" s="7" t="s">
        <v>26</v>
      </c>
      <c r="C10" s="10"/>
      <c r="D10" s="256">
        <v>3000</v>
      </c>
      <c r="E10" s="215">
        <f t="shared" si="0"/>
        <v>0.1</v>
      </c>
      <c r="F10" s="415"/>
      <c r="G10" s="416"/>
      <c r="H10" s="417"/>
      <c r="I10" s="13"/>
    </row>
    <row r="11" spans="1:10" x14ac:dyDescent="0.3">
      <c r="A11" s="8" t="s">
        <v>27</v>
      </c>
      <c r="B11" s="253" t="s">
        <v>148</v>
      </c>
      <c r="C11" s="10"/>
      <c r="D11" s="255">
        <v>12000</v>
      </c>
      <c r="E11" s="215">
        <f t="shared" si="0"/>
        <v>0.4</v>
      </c>
      <c r="F11" s="415"/>
      <c r="G11" s="416"/>
      <c r="H11" s="417"/>
      <c r="I11" s="13"/>
    </row>
    <row r="12" spans="1:10" x14ac:dyDescent="0.3">
      <c r="A12" s="8" t="s">
        <v>28</v>
      </c>
      <c r="B12" s="253" t="s">
        <v>149</v>
      </c>
      <c r="C12" s="10"/>
      <c r="D12" s="255">
        <v>9000</v>
      </c>
      <c r="E12" s="215">
        <f t="shared" si="0"/>
        <v>0.3</v>
      </c>
      <c r="F12" s="415"/>
      <c r="G12" s="416"/>
      <c r="H12" s="417"/>
      <c r="I12" s="13"/>
    </row>
    <row r="13" spans="1:10" s="7" customFormat="1" x14ac:dyDescent="0.3">
      <c r="A13" s="8" t="s">
        <v>29</v>
      </c>
      <c r="B13" s="253"/>
      <c r="D13" s="256"/>
      <c r="E13" s="215">
        <f t="shared" si="0"/>
        <v>0</v>
      </c>
      <c r="F13" s="415"/>
      <c r="G13" s="416"/>
      <c r="H13" s="417"/>
      <c r="I13" s="13"/>
    </row>
    <row r="14" spans="1:10" s="7" customFormat="1" x14ac:dyDescent="0.3">
      <c r="A14" s="8" t="s">
        <v>30</v>
      </c>
      <c r="B14" s="253"/>
      <c r="D14" s="256"/>
      <c r="E14" s="215">
        <f t="shared" si="0"/>
        <v>0</v>
      </c>
      <c r="F14" s="415"/>
      <c r="G14" s="416"/>
      <c r="H14" s="417"/>
      <c r="I14" s="13"/>
    </row>
    <row r="15" spans="1:10" x14ac:dyDescent="0.3">
      <c r="A15" s="15" t="s">
        <v>9</v>
      </c>
      <c r="B15" s="16" t="s">
        <v>31</v>
      </c>
      <c r="C15" s="16"/>
      <c r="D15" s="28">
        <f>SUM(D16:D17)</f>
        <v>1000</v>
      </c>
      <c r="E15" s="216">
        <f t="shared" si="0"/>
        <v>3.3333333333333333E-2</v>
      </c>
      <c r="F15" s="415"/>
      <c r="G15" s="416"/>
      <c r="H15" s="417"/>
      <c r="I15" s="13"/>
    </row>
    <row r="16" spans="1:10" x14ac:dyDescent="0.3">
      <c r="A16" s="19" t="s">
        <v>32</v>
      </c>
      <c r="B16" s="7" t="s">
        <v>33</v>
      </c>
      <c r="C16" s="7"/>
      <c r="D16" s="256">
        <v>1000</v>
      </c>
      <c r="E16" s="217">
        <f t="shared" si="0"/>
        <v>3.3333333333333333E-2</v>
      </c>
      <c r="F16" s="415"/>
      <c r="G16" s="416"/>
      <c r="H16" s="417"/>
      <c r="I16" s="13"/>
    </row>
    <row r="17" spans="1:9" x14ac:dyDescent="0.3">
      <c r="A17" s="19" t="s">
        <v>34</v>
      </c>
      <c r="B17" s="253"/>
      <c r="C17" s="7"/>
      <c r="D17" s="256"/>
      <c r="E17" s="217">
        <f t="shared" si="0"/>
        <v>0</v>
      </c>
      <c r="F17" s="415"/>
      <c r="G17" s="416"/>
      <c r="H17" s="417"/>
      <c r="I17" s="13"/>
    </row>
    <row r="18" spans="1:9" x14ac:dyDescent="0.3">
      <c r="A18" s="15" t="s">
        <v>10</v>
      </c>
      <c r="B18" s="16" t="s">
        <v>35</v>
      </c>
      <c r="C18" s="16"/>
      <c r="D18" s="28">
        <f>SUM(D19:D23)</f>
        <v>5000</v>
      </c>
      <c r="E18" s="216">
        <f t="shared" si="0"/>
        <v>0.16666666666666666</v>
      </c>
      <c r="F18" s="415"/>
      <c r="G18" s="416"/>
      <c r="H18" s="417"/>
      <c r="I18" s="13"/>
    </row>
    <row r="19" spans="1:9" x14ac:dyDescent="0.3">
      <c r="A19" s="19" t="s">
        <v>36</v>
      </c>
      <c r="B19" s="7" t="s">
        <v>37</v>
      </c>
      <c r="C19" s="7"/>
      <c r="D19" s="256">
        <v>5000</v>
      </c>
      <c r="E19" s="217">
        <f t="shared" si="0"/>
        <v>0.16666666666666666</v>
      </c>
      <c r="F19" s="415"/>
      <c r="G19" s="416"/>
      <c r="H19" s="417"/>
      <c r="I19" s="13"/>
    </row>
    <row r="20" spans="1:9" x14ac:dyDescent="0.3">
      <c r="A20" s="19" t="s">
        <v>38</v>
      </c>
      <c r="B20" s="7" t="s">
        <v>39</v>
      </c>
      <c r="C20" s="7"/>
      <c r="D20" s="256"/>
      <c r="E20" s="217">
        <f t="shared" si="0"/>
        <v>0</v>
      </c>
      <c r="F20" s="415"/>
      <c r="G20" s="416"/>
      <c r="H20" s="417"/>
      <c r="I20" s="13"/>
    </row>
    <row r="21" spans="1:9" x14ac:dyDescent="0.3">
      <c r="A21" s="19" t="s">
        <v>40</v>
      </c>
      <c r="B21" s="7" t="s">
        <v>134</v>
      </c>
      <c r="C21" s="7"/>
      <c r="D21" s="256"/>
      <c r="E21" s="217">
        <f t="shared" si="0"/>
        <v>0</v>
      </c>
      <c r="F21" s="415"/>
      <c r="G21" s="416"/>
      <c r="H21" s="417"/>
      <c r="I21" s="13"/>
    </row>
    <row r="22" spans="1:9" x14ac:dyDescent="0.3">
      <c r="A22" s="19" t="s">
        <v>41</v>
      </c>
      <c r="B22" s="253"/>
      <c r="C22" s="7"/>
      <c r="D22" s="256"/>
      <c r="E22" s="217">
        <f t="shared" si="0"/>
        <v>0</v>
      </c>
      <c r="F22" s="415"/>
      <c r="G22" s="416"/>
      <c r="H22" s="417"/>
      <c r="I22" s="13"/>
    </row>
    <row r="23" spans="1:9" x14ac:dyDescent="0.3">
      <c r="A23" s="23" t="s">
        <v>42</v>
      </c>
      <c r="B23" s="258"/>
      <c r="C23" s="24"/>
      <c r="D23" s="257"/>
      <c r="E23" s="218">
        <f t="shared" si="0"/>
        <v>0</v>
      </c>
      <c r="F23" s="425"/>
      <c r="G23" s="426"/>
      <c r="H23" s="427"/>
      <c r="I23" s="25"/>
    </row>
    <row r="24" spans="1:9" s="1" customFormat="1" ht="16.2" thickBot="1" x14ac:dyDescent="0.35">
      <c r="A24" s="248"/>
      <c r="B24" s="249" t="s">
        <v>44</v>
      </c>
      <c r="C24" s="249"/>
      <c r="D24" s="250">
        <f>SUM(D7,D8,D15,D18)</f>
        <v>30000</v>
      </c>
      <c r="E24" s="251">
        <f t="shared" si="0"/>
        <v>1</v>
      </c>
      <c r="F24" s="249"/>
      <c r="G24" s="249"/>
      <c r="H24" s="249"/>
      <c r="I24" s="252"/>
    </row>
    <row r="25" spans="1:9" ht="15" thickTop="1" x14ac:dyDescent="0.3">
      <c r="E25" s="88"/>
    </row>
    <row r="26" spans="1:9" x14ac:dyDescent="0.3">
      <c r="E26" s="88"/>
    </row>
    <row r="27" spans="1:9" x14ac:dyDescent="0.3">
      <c r="E27" s="88"/>
    </row>
  </sheetData>
  <sheetProtection password="DCAC" sheet="1" selectLockedCells="1"/>
  <mergeCells count="20">
    <mergeCell ref="F23:H23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8:H18"/>
    <mergeCell ref="F17:H17"/>
    <mergeCell ref="F19:H19"/>
    <mergeCell ref="F20:H20"/>
    <mergeCell ref="F21:H21"/>
    <mergeCell ref="F22:H22"/>
    <mergeCell ref="C3:F3"/>
    <mergeCell ref="C4:F4"/>
    <mergeCell ref="F6:H6"/>
    <mergeCell ref="F7:H7"/>
  </mergeCells>
  <phoneticPr fontId="2" type="noConversion"/>
  <pageMargins left="0.59055118110236227" right="0.59055118110236227" top="1.3779527559055118" bottom="0.59055118110236227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A9:A10 A11:A14 A16:A17 A19:A23" twoDigitTextYear="1"/>
    <ignoredError sqref="E13:E24" evalError="1"/>
    <ignoredError sqref="E8:E12" evalError="1" unlockedFormula="1"/>
    <ignoredError sqref="E7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zoomScaleNormal="100" workbookViewId="0">
      <selection activeCell="E7" sqref="E7"/>
    </sheetView>
  </sheetViews>
  <sheetFormatPr baseColWidth="10" defaultRowHeight="14.4" x14ac:dyDescent="0.3"/>
  <cols>
    <col min="1" max="1" width="5.109375" style="17" bestFit="1" customWidth="1"/>
    <col min="2" max="2" width="45.33203125" customWidth="1"/>
    <col min="3" max="3" width="3.33203125" customWidth="1"/>
    <col min="4" max="4" width="14.88671875" bestFit="1" customWidth="1"/>
    <col min="5" max="5" width="10.33203125" customWidth="1"/>
    <col min="6" max="6" width="12.5546875" bestFit="1" customWidth="1"/>
    <col min="7" max="7" width="14.109375" customWidth="1"/>
    <col min="8" max="8" width="11" customWidth="1"/>
    <col min="9" max="9" width="14" customWidth="1"/>
    <col min="10" max="10" width="3.33203125" customWidth="1"/>
  </cols>
  <sheetData>
    <row r="1" spans="1:11" s="115" customFormat="1" ht="23.4" x14ac:dyDescent="0.45">
      <c r="A1" s="116" t="s">
        <v>47</v>
      </c>
      <c r="B1" s="115" t="s">
        <v>55</v>
      </c>
    </row>
    <row r="2" spans="1:11" ht="5.4" customHeight="1" x14ac:dyDescent="0.3">
      <c r="A2" s="42"/>
      <c r="B2" s="7"/>
      <c r="C2" s="7"/>
      <c r="D2" s="7"/>
      <c r="E2" s="7"/>
      <c r="F2" s="7"/>
      <c r="G2" s="7"/>
      <c r="H2" s="7"/>
      <c r="I2" s="7"/>
      <c r="J2" s="7"/>
    </row>
    <row r="3" spans="1:11" s="1" customFormat="1" ht="15.6" x14ac:dyDescent="0.3">
      <c r="A3" s="259"/>
      <c r="B3" s="238" t="s">
        <v>2</v>
      </c>
      <c r="C3" s="418" t="str">
        <f>+Datenblatt!D3</f>
        <v>Muster eGen</v>
      </c>
      <c r="D3" s="419"/>
      <c r="E3" s="419"/>
      <c r="F3" s="419"/>
      <c r="G3" s="419"/>
      <c r="H3" s="239"/>
      <c r="I3" s="240"/>
      <c r="J3" s="241"/>
    </row>
    <row r="4" spans="1:11" s="1" customFormat="1" ht="15.6" x14ac:dyDescent="0.3">
      <c r="A4" s="18"/>
      <c r="B4" s="2" t="s">
        <v>3</v>
      </c>
      <c r="C4" s="420" t="str">
        <f>+Datenblatt!D4</f>
        <v>PLZ Ort, Straße Nr.</v>
      </c>
      <c r="D4" s="421"/>
      <c r="E4" s="421"/>
      <c r="F4" s="421"/>
      <c r="G4" s="421"/>
      <c r="H4" s="2"/>
      <c r="I4" s="2"/>
      <c r="J4" s="12"/>
      <c r="K4" s="4"/>
    </row>
    <row r="5" spans="1:11" x14ac:dyDescent="0.3">
      <c r="A5" s="20"/>
      <c r="B5" s="21"/>
      <c r="C5" s="21"/>
      <c r="D5" s="21"/>
      <c r="E5" s="21"/>
      <c r="F5" s="21"/>
      <c r="G5" s="21"/>
      <c r="H5" s="21"/>
      <c r="I5" s="21"/>
      <c r="J5" s="22"/>
    </row>
    <row r="6" spans="1:11" s="1" customFormat="1" ht="41.4" x14ac:dyDescent="0.3">
      <c r="A6" s="243" t="s">
        <v>0</v>
      </c>
      <c r="B6" s="244" t="s">
        <v>56</v>
      </c>
      <c r="C6" s="244"/>
      <c r="D6" s="245" t="s">
        <v>45</v>
      </c>
      <c r="E6" s="294" t="s">
        <v>57</v>
      </c>
      <c r="F6" s="294" t="s">
        <v>58</v>
      </c>
      <c r="G6" s="411" t="s">
        <v>18</v>
      </c>
      <c r="H6" s="411"/>
      <c r="I6" s="411"/>
      <c r="J6" s="247"/>
    </row>
    <row r="7" spans="1:11" s="3" customFormat="1" x14ac:dyDescent="0.3">
      <c r="A7" s="15" t="s">
        <v>5</v>
      </c>
      <c r="B7" s="16" t="s">
        <v>21</v>
      </c>
      <c r="C7" s="27"/>
      <c r="D7" s="29">
        <f>Investitionsplan!D7</f>
        <v>0</v>
      </c>
      <c r="E7" s="292"/>
      <c r="F7" s="39" t="str">
        <f>IF(E7="","",D7/E7)</f>
        <v/>
      </c>
      <c r="G7" s="430"/>
      <c r="H7" s="431"/>
      <c r="I7" s="432"/>
      <c r="J7" s="14"/>
    </row>
    <row r="8" spans="1:11" s="3" customFormat="1" x14ac:dyDescent="0.3">
      <c r="A8" s="15" t="s">
        <v>8</v>
      </c>
      <c r="B8" s="16" t="s">
        <v>22</v>
      </c>
      <c r="C8" s="27"/>
      <c r="D8" s="29">
        <f>Investitionsplan!D8</f>
        <v>24000</v>
      </c>
      <c r="E8" s="48"/>
      <c r="F8" s="37"/>
      <c r="G8" s="433"/>
      <c r="H8" s="434"/>
      <c r="I8" s="435"/>
      <c r="J8" s="14"/>
    </row>
    <row r="9" spans="1:11" s="3" customFormat="1" x14ac:dyDescent="0.3">
      <c r="A9" s="8" t="s">
        <v>23</v>
      </c>
      <c r="B9" s="9" t="s">
        <v>24</v>
      </c>
      <c r="C9" s="10"/>
      <c r="D9" s="36">
        <f>Investitionsplan!D9</f>
        <v>0</v>
      </c>
      <c r="E9" s="293"/>
      <c r="F9" s="39" t="str">
        <f t="shared" ref="F9:F14" si="0">IF(E9="","",D9/E9)</f>
        <v/>
      </c>
      <c r="G9" s="433"/>
      <c r="H9" s="434"/>
      <c r="I9" s="435"/>
      <c r="J9" s="14"/>
    </row>
    <row r="10" spans="1:11" x14ac:dyDescent="0.3">
      <c r="A10" s="8" t="s">
        <v>25</v>
      </c>
      <c r="B10" s="7" t="s">
        <v>26</v>
      </c>
      <c r="C10" s="10"/>
      <c r="D10" s="36">
        <f>Investitionsplan!D10</f>
        <v>3000</v>
      </c>
      <c r="E10" s="293">
        <v>6</v>
      </c>
      <c r="F10" s="39">
        <f t="shared" si="0"/>
        <v>500</v>
      </c>
      <c r="G10" s="433"/>
      <c r="H10" s="434"/>
      <c r="I10" s="435"/>
      <c r="J10" s="13"/>
    </row>
    <row r="11" spans="1:11" x14ac:dyDescent="0.3">
      <c r="A11" s="8" t="s">
        <v>27</v>
      </c>
      <c r="B11" s="35" t="str">
        <f>IF(Investitionsplan!B11="","-",Investitionsplan!B11)</f>
        <v>Kühlcontainer 2x</v>
      </c>
      <c r="C11" s="10"/>
      <c r="D11" s="36">
        <f>Investitionsplan!D11</f>
        <v>12000</v>
      </c>
      <c r="E11" s="293">
        <v>10</v>
      </c>
      <c r="F11" s="39">
        <f t="shared" si="0"/>
        <v>1200</v>
      </c>
      <c r="G11" s="433"/>
      <c r="H11" s="434"/>
      <c r="I11" s="435"/>
      <c r="J11" s="13"/>
    </row>
    <row r="12" spans="1:11" x14ac:dyDescent="0.3">
      <c r="A12" s="8" t="s">
        <v>28</v>
      </c>
      <c r="B12" s="35" t="str">
        <f>IF(Investitionsplan!B12="","-",Investitionsplan!B12)</f>
        <v>Sonstige BGA</v>
      </c>
      <c r="C12" s="10"/>
      <c r="D12" s="36">
        <f>Investitionsplan!D12</f>
        <v>9000</v>
      </c>
      <c r="E12" s="293">
        <v>5</v>
      </c>
      <c r="F12" s="39">
        <f t="shared" si="0"/>
        <v>1800</v>
      </c>
      <c r="G12" s="433"/>
      <c r="H12" s="434"/>
      <c r="I12" s="435"/>
      <c r="J12" s="13"/>
    </row>
    <row r="13" spans="1:11" s="7" customFormat="1" x14ac:dyDescent="0.3">
      <c r="A13" s="8" t="s">
        <v>29</v>
      </c>
      <c r="B13" s="35" t="str">
        <f>IF(Investitionsplan!B13="","-",Investitionsplan!B13)</f>
        <v>-</v>
      </c>
      <c r="D13" s="36">
        <f>Investitionsplan!D13</f>
        <v>0</v>
      </c>
      <c r="E13" s="293"/>
      <c r="F13" s="39" t="str">
        <f t="shared" si="0"/>
        <v/>
      </c>
      <c r="G13" s="433"/>
      <c r="H13" s="434"/>
      <c r="I13" s="435"/>
      <c r="J13" s="13"/>
    </row>
    <row r="14" spans="1:11" s="7" customFormat="1" x14ac:dyDescent="0.3">
      <c r="A14" s="8" t="s">
        <v>30</v>
      </c>
      <c r="B14" s="35" t="str">
        <f>IF(Investitionsplan!B14="","-",Investitionsplan!B14)</f>
        <v>-</v>
      </c>
      <c r="D14" s="36">
        <f>Investitionsplan!D14</f>
        <v>0</v>
      </c>
      <c r="E14" s="293"/>
      <c r="F14" s="39" t="str">
        <f t="shared" si="0"/>
        <v/>
      </c>
      <c r="G14" s="436"/>
      <c r="H14" s="437"/>
      <c r="I14" s="438"/>
      <c r="J14" s="13"/>
    </row>
    <row r="15" spans="1:11" ht="15" thickBot="1" x14ac:dyDescent="0.35">
      <c r="A15" s="295"/>
      <c r="B15" s="296" t="s">
        <v>59</v>
      </c>
      <c r="C15" s="296"/>
      <c r="D15" s="297">
        <f>SUM(D7:D8)</f>
        <v>24000</v>
      </c>
      <c r="E15" s="298"/>
      <c r="F15" s="297">
        <f>SUM(F7,F9:F14)</f>
        <v>3500</v>
      </c>
      <c r="G15" s="428"/>
      <c r="H15" s="429"/>
      <c r="I15" s="429"/>
      <c r="J15" s="299"/>
    </row>
    <row r="16" spans="1:11" ht="15" thickTop="1" x14ac:dyDescent="0.3">
      <c r="A16" s="19"/>
      <c r="B16" s="26"/>
      <c r="C16" s="7"/>
      <c r="D16" s="33"/>
      <c r="E16" s="31"/>
      <c r="F16" s="45"/>
      <c r="G16" s="440"/>
      <c r="H16" s="441"/>
      <c r="I16" s="441"/>
      <c r="J16" s="13"/>
    </row>
    <row r="17" spans="1:10" x14ac:dyDescent="0.3">
      <c r="A17" s="15" t="s">
        <v>19</v>
      </c>
      <c r="B17" s="62" t="str">
        <f ca="1">"Sachanlagevermögen nach Abschreibung " &amp;Finanzierungsplan!B20</f>
        <v>Sachanlagevermögen nach Abschreibung 2023</v>
      </c>
      <c r="C17" s="7"/>
      <c r="D17" s="47">
        <f>+D15-F15</f>
        <v>20500</v>
      </c>
      <c r="E17" s="31"/>
      <c r="F17" s="46"/>
      <c r="G17" s="433"/>
      <c r="H17" s="434"/>
      <c r="I17" s="435"/>
      <c r="J17" s="13"/>
    </row>
    <row r="18" spans="1:10" x14ac:dyDescent="0.3">
      <c r="A18" s="15" t="s">
        <v>47</v>
      </c>
      <c r="B18" s="62" t="str">
        <f ca="1">"Sachanlagevermögen nach Abschreibung " &amp;Finanzierungsplan!B21</f>
        <v>Sachanlagevermögen nach Abschreibung 2024</v>
      </c>
      <c r="C18" s="16"/>
      <c r="D18" s="34">
        <f>+D17-$F$15</f>
        <v>17000</v>
      </c>
      <c r="E18" s="30"/>
      <c r="F18" s="46"/>
      <c r="G18" s="433"/>
      <c r="H18" s="434"/>
      <c r="I18" s="435"/>
      <c r="J18" s="13"/>
    </row>
    <row r="19" spans="1:10" x14ac:dyDescent="0.3">
      <c r="A19" s="15" t="s">
        <v>61</v>
      </c>
      <c r="B19" s="62" t="str">
        <f ca="1">"Sachanlagevermögen nach Abschreibung " &amp;Finanzierungsplan!B22</f>
        <v>Sachanlagevermögen nach Abschreibung 2025</v>
      </c>
      <c r="C19" s="7"/>
      <c r="D19" s="47">
        <f t="shared" ref="D19:D21" si="1">+D18-$F$15</f>
        <v>13500</v>
      </c>
      <c r="E19" s="31"/>
      <c r="F19" s="46"/>
      <c r="G19" s="433"/>
      <c r="H19" s="434"/>
      <c r="I19" s="435"/>
      <c r="J19" s="13"/>
    </row>
    <row r="20" spans="1:10" x14ac:dyDescent="0.3">
      <c r="A20" s="15" t="s">
        <v>62</v>
      </c>
      <c r="B20" s="62" t="str">
        <f ca="1">"Sachanlagevermögen nach Abschreibung " &amp;Finanzierungsplan!B23</f>
        <v>Sachanlagevermögen nach Abschreibung 2026</v>
      </c>
      <c r="C20" s="7"/>
      <c r="D20" s="47">
        <f t="shared" si="1"/>
        <v>10000</v>
      </c>
      <c r="E20" s="31"/>
      <c r="F20" s="46"/>
      <c r="G20" s="433"/>
      <c r="H20" s="434"/>
      <c r="I20" s="435"/>
      <c r="J20" s="13"/>
    </row>
    <row r="21" spans="1:10" x14ac:dyDescent="0.3">
      <c r="A21" s="15" t="s">
        <v>63</v>
      </c>
      <c r="B21" s="62" t="str">
        <f ca="1">"Sachanlagevermögen nach Abschreibung " &amp;Finanzierungsplan!B24</f>
        <v>Sachanlagevermögen nach Abschreibung 2027</v>
      </c>
      <c r="C21" s="7"/>
      <c r="D21" s="47">
        <f t="shared" si="1"/>
        <v>6500</v>
      </c>
      <c r="E21" s="31"/>
      <c r="F21" s="46"/>
      <c r="G21" s="442"/>
      <c r="H21" s="443"/>
      <c r="I21" s="444"/>
      <c r="J21" s="13"/>
    </row>
    <row r="22" spans="1:10" ht="15" thickBot="1" x14ac:dyDescent="0.35">
      <c r="A22" s="385"/>
      <c r="B22" s="386"/>
      <c r="C22" s="387"/>
      <c r="D22" s="388"/>
      <c r="E22" s="389"/>
      <c r="F22" s="390"/>
      <c r="G22" s="428"/>
      <c r="H22" s="429"/>
      <c r="I22" s="429"/>
      <c r="J22" s="299"/>
    </row>
    <row r="23" spans="1:10" ht="15" thickTop="1" x14ac:dyDescent="0.3">
      <c r="A23" s="42"/>
      <c r="B23" s="32"/>
      <c r="C23" s="7"/>
      <c r="D23" s="33"/>
      <c r="E23" s="31"/>
      <c r="F23" s="31"/>
      <c r="G23" s="439"/>
      <c r="H23" s="439"/>
      <c r="I23" s="439"/>
      <c r="J23" s="7"/>
    </row>
    <row r="24" spans="1:10" s="1" customFormat="1" ht="15.6" x14ac:dyDescent="0.3">
      <c r="A24" s="43"/>
      <c r="B24" s="4"/>
      <c r="C24" s="4"/>
      <c r="D24" s="44"/>
      <c r="E24" s="30"/>
      <c r="F24" s="30"/>
      <c r="G24" s="4"/>
      <c r="H24" s="4"/>
      <c r="I24" s="4"/>
      <c r="J24" s="4"/>
    </row>
    <row r="25" spans="1:10" x14ac:dyDescent="0.3">
      <c r="A25" s="42"/>
      <c r="B25" s="7"/>
      <c r="C25" s="7"/>
      <c r="D25" s="7"/>
      <c r="E25" s="7"/>
      <c r="F25" s="7"/>
      <c r="G25" s="7"/>
      <c r="H25" s="7"/>
      <c r="I25" s="7"/>
      <c r="J25" s="7"/>
    </row>
  </sheetData>
  <sheetProtection password="DCAC" sheet="1" selectLockedCells="1"/>
  <mergeCells count="20">
    <mergeCell ref="G22:I22"/>
    <mergeCell ref="G23:I23"/>
    <mergeCell ref="G16:I16"/>
    <mergeCell ref="G17:I17"/>
    <mergeCell ref="G18:I18"/>
    <mergeCell ref="G19:I19"/>
    <mergeCell ref="G20:I20"/>
    <mergeCell ref="G21:I21"/>
    <mergeCell ref="G15:I15"/>
    <mergeCell ref="C3:G3"/>
    <mergeCell ref="C4:G4"/>
    <mergeCell ref="G6:I6"/>
    <mergeCell ref="G7:I7"/>
    <mergeCell ref="G8:I8"/>
    <mergeCell ref="G9:I9"/>
    <mergeCell ref="G10:I10"/>
    <mergeCell ref="G11:I11"/>
    <mergeCell ref="G12:I12"/>
    <mergeCell ref="G13:I13"/>
    <mergeCell ref="G14:I14"/>
  </mergeCells>
  <phoneticPr fontId="2" type="noConversion"/>
  <pageMargins left="0.59055118110236227" right="0.59055118110236227" top="1.3779527559055118" bottom="0.59055118110236227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A9:A14" twoDigitTextYear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9"/>
  <sheetViews>
    <sheetView showGridLines="0" zoomScaleNormal="100" workbookViewId="0">
      <selection activeCell="E7" sqref="E7"/>
    </sheetView>
  </sheetViews>
  <sheetFormatPr baseColWidth="10" defaultRowHeight="14.4" x14ac:dyDescent="0.3"/>
  <cols>
    <col min="1" max="1" width="5.109375" style="17" bestFit="1" customWidth="1"/>
    <col min="2" max="2" width="47.5546875" customWidth="1"/>
    <col min="3" max="3" width="2.109375" customWidth="1"/>
    <col min="4" max="4" width="13.6640625" bestFit="1" customWidth="1"/>
    <col min="5" max="5" width="11.6640625" bestFit="1" customWidth="1"/>
    <col min="6" max="6" width="11.5546875" bestFit="1" customWidth="1"/>
    <col min="7" max="7" width="12.5546875" bestFit="1" customWidth="1"/>
    <col min="8" max="8" width="1.5546875" customWidth="1"/>
    <col min="9" max="9" width="11" customWidth="1"/>
    <col min="10" max="10" width="13.5546875" customWidth="1"/>
    <col min="11" max="11" width="3.33203125" customWidth="1"/>
  </cols>
  <sheetData>
    <row r="1" spans="1:12" s="115" customFormat="1" ht="23.4" x14ac:dyDescent="0.45">
      <c r="A1" s="114" t="s">
        <v>61</v>
      </c>
      <c r="B1" s="113" t="s">
        <v>48</v>
      </c>
      <c r="C1" s="113"/>
      <c r="D1" s="113"/>
      <c r="E1" s="113"/>
      <c r="F1" s="113"/>
      <c r="G1" s="113"/>
      <c r="H1" s="113"/>
      <c r="I1" s="113"/>
      <c r="J1" s="113"/>
      <c r="K1" s="113"/>
    </row>
    <row r="2" spans="1:12" ht="5.4" customHeight="1" x14ac:dyDescent="0.3">
      <c r="A2" s="327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s="1" customFormat="1" ht="15.6" x14ac:dyDescent="0.3">
      <c r="A3" s="328"/>
      <c r="B3" s="329" t="s">
        <v>2</v>
      </c>
      <c r="C3" s="418" t="str">
        <f>+Datenblatt!D3</f>
        <v>Muster eGen</v>
      </c>
      <c r="D3" s="419"/>
      <c r="E3" s="419"/>
      <c r="F3" s="419"/>
      <c r="G3" s="419"/>
      <c r="H3" s="419"/>
      <c r="I3" s="330"/>
      <c r="J3" s="331"/>
      <c r="K3" s="332"/>
    </row>
    <row r="4" spans="1:12" s="1" customFormat="1" ht="15.6" x14ac:dyDescent="0.3">
      <c r="A4" s="50"/>
      <c r="B4" s="51" t="s">
        <v>3</v>
      </c>
      <c r="C4" s="420" t="str">
        <f>+Datenblatt!D4</f>
        <v>PLZ Ort, Straße Nr.</v>
      </c>
      <c r="D4" s="421"/>
      <c r="E4" s="421"/>
      <c r="F4" s="421"/>
      <c r="G4" s="421"/>
      <c r="H4" s="421"/>
      <c r="I4" s="51"/>
      <c r="J4" s="51"/>
      <c r="K4" s="80"/>
      <c r="L4" s="4"/>
    </row>
    <row r="5" spans="1:12" x14ac:dyDescent="0.3">
      <c r="A5" s="52"/>
      <c r="B5" s="53"/>
      <c r="C5" s="53"/>
      <c r="D5" s="53"/>
      <c r="E5" s="53"/>
      <c r="F5" s="53"/>
      <c r="G5" s="66"/>
      <c r="H5" s="53"/>
      <c r="I5" s="53"/>
      <c r="J5" s="53"/>
      <c r="K5" s="81"/>
    </row>
    <row r="6" spans="1:12" s="1" customFormat="1" ht="27.6" x14ac:dyDescent="0.3">
      <c r="A6" s="287" t="s">
        <v>0</v>
      </c>
      <c r="B6" s="288" t="s">
        <v>49</v>
      </c>
      <c r="C6" s="288"/>
      <c r="D6" s="246" t="s">
        <v>45</v>
      </c>
      <c r="E6" s="289" t="s">
        <v>65</v>
      </c>
      <c r="F6" s="289" t="s">
        <v>67</v>
      </c>
      <c r="G6" s="290" t="s">
        <v>66</v>
      </c>
      <c r="H6" s="445" t="s">
        <v>18</v>
      </c>
      <c r="I6" s="445"/>
      <c r="J6" s="445"/>
      <c r="K6" s="291"/>
    </row>
    <row r="7" spans="1:12" s="3" customFormat="1" x14ac:dyDescent="0.3">
      <c r="A7" s="55" t="s">
        <v>5</v>
      </c>
      <c r="B7" s="56" t="s">
        <v>50</v>
      </c>
      <c r="C7" s="57"/>
      <c r="D7" s="29">
        <f>+Datenblatt!E8*Datenblatt!E9</f>
        <v>10000</v>
      </c>
      <c r="E7" s="272"/>
      <c r="F7" s="68"/>
      <c r="G7" s="67">
        <f>+D7*E7</f>
        <v>0</v>
      </c>
      <c r="H7" s="430"/>
      <c r="I7" s="431"/>
      <c r="J7" s="432"/>
      <c r="K7" s="82"/>
    </row>
    <row r="8" spans="1:12" s="3" customFormat="1" x14ac:dyDescent="0.3">
      <c r="A8" s="55" t="s">
        <v>8</v>
      </c>
      <c r="B8" s="56" t="s">
        <v>119</v>
      </c>
      <c r="C8" s="57"/>
      <c r="D8" s="273">
        <v>2000</v>
      </c>
      <c r="E8" s="65"/>
      <c r="F8" s="276">
        <v>10</v>
      </c>
      <c r="G8" s="67"/>
      <c r="H8" s="433"/>
      <c r="I8" s="446"/>
      <c r="J8" s="447"/>
      <c r="K8" s="82"/>
    </row>
    <row r="9" spans="1:12" s="3" customFormat="1" x14ac:dyDescent="0.3">
      <c r="A9" s="55" t="s">
        <v>9</v>
      </c>
      <c r="B9" s="56" t="s">
        <v>52</v>
      </c>
      <c r="C9" s="58"/>
      <c r="D9" s="29">
        <f>SUM(D10:D12)</f>
        <v>8000</v>
      </c>
      <c r="E9" s="65"/>
      <c r="F9" s="69"/>
      <c r="G9" s="67"/>
      <c r="H9" s="448"/>
      <c r="I9" s="449"/>
      <c r="J9" s="450"/>
      <c r="K9" s="82"/>
    </row>
    <row r="10" spans="1:12" x14ac:dyDescent="0.3">
      <c r="A10" s="59" t="s">
        <v>32</v>
      </c>
      <c r="B10" s="60" t="s">
        <v>53</v>
      </c>
      <c r="C10" s="58"/>
      <c r="D10" s="274">
        <v>8000</v>
      </c>
      <c r="E10" s="275">
        <v>0.04</v>
      </c>
      <c r="F10" s="270">
        <v>7</v>
      </c>
      <c r="G10" s="67">
        <f>+D10*E10</f>
        <v>320</v>
      </c>
      <c r="H10" s="433"/>
      <c r="I10" s="434"/>
      <c r="J10" s="435"/>
      <c r="K10" s="83"/>
    </row>
    <row r="11" spans="1:12" x14ac:dyDescent="0.3">
      <c r="A11" s="59" t="s">
        <v>34</v>
      </c>
      <c r="B11" s="270"/>
      <c r="C11" s="58"/>
      <c r="D11" s="273"/>
      <c r="E11" s="272"/>
      <c r="F11" s="276"/>
      <c r="G11" s="67">
        <f>+D11*E11</f>
        <v>0</v>
      </c>
      <c r="H11" s="433"/>
      <c r="I11" s="434"/>
      <c r="J11" s="435"/>
      <c r="K11" s="83"/>
    </row>
    <row r="12" spans="1:12" x14ac:dyDescent="0.3">
      <c r="A12" s="59" t="s">
        <v>69</v>
      </c>
      <c r="B12" s="270"/>
      <c r="C12" s="58"/>
      <c r="D12" s="273"/>
      <c r="E12" s="272"/>
      <c r="F12" s="276"/>
      <c r="G12" s="67">
        <f>+D12*E12</f>
        <v>0</v>
      </c>
      <c r="H12" s="433"/>
      <c r="I12" s="434"/>
      <c r="J12" s="435"/>
      <c r="K12" s="83"/>
    </row>
    <row r="13" spans="1:12" x14ac:dyDescent="0.3">
      <c r="A13" s="61" t="s">
        <v>10</v>
      </c>
      <c r="B13" s="62" t="s">
        <v>54</v>
      </c>
      <c r="C13" s="58"/>
      <c r="D13" s="29">
        <f>SUM(D14:D16)</f>
        <v>12000</v>
      </c>
      <c r="E13" s="65"/>
      <c r="F13" s="69"/>
      <c r="G13" s="67"/>
      <c r="H13" s="448"/>
      <c r="I13" s="449"/>
      <c r="J13" s="450"/>
      <c r="K13" s="83"/>
    </row>
    <row r="14" spans="1:12" s="7" customFormat="1" x14ac:dyDescent="0.3">
      <c r="A14" s="59" t="s">
        <v>36</v>
      </c>
      <c r="B14" s="35" t="s">
        <v>60</v>
      </c>
      <c r="C14" s="63"/>
      <c r="D14" s="274">
        <v>10000</v>
      </c>
      <c r="E14" s="275">
        <v>0.03</v>
      </c>
      <c r="F14" s="270">
        <v>5</v>
      </c>
      <c r="G14" s="67">
        <f>IFERROR(-PMT(E14,F14,D14),0)</f>
        <v>2183.5457140057606</v>
      </c>
      <c r="H14" s="433" t="s">
        <v>154</v>
      </c>
      <c r="I14" s="434"/>
      <c r="J14" s="435"/>
      <c r="K14" s="83"/>
    </row>
    <row r="15" spans="1:12" s="7" customFormat="1" x14ac:dyDescent="0.3">
      <c r="A15" s="59" t="s">
        <v>38</v>
      </c>
      <c r="B15" s="35" t="s">
        <v>68</v>
      </c>
      <c r="C15" s="63"/>
      <c r="D15" s="274"/>
      <c r="E15" s="275"/>
      <c r="F15" s="270"/>
      <c r="G15" s="67">
        <f>+D15*E15</f>
        <v>0</v>
      </c>
      <c r="H15" s="433"/>
      <c r="I15" s="434"/>
      <c r="J15" s="435"/>
      <c r="K15" s="83"/>
    </row>
    <row r="16" spans="1:12" s="3" customFormat="1" x14ac:dyDescent="0.3">
      <c r="A16" s="59" t="s">
        <v>41</v>
      </c>
      <c r="B16" s="271" t="s">
        <v>150</v>
      </c>
      <c r="C16" s="94"/>
      <c r="D16" s="277">
        <v>2000</v>
      </c>
      <c r="E16" s="278">
        <v>3.5000000000000003E-2</v>
      </c>
      <c r="F16" s="271"/>
      <c r="G16" s="67">
        <f t="shared" ref="G16" si="0">+D16*E16</f>
        <v>70</v>
      </c>
      <c r="H16" s="436"/>
      <c r="I16" s="452"/>
      <c r="J16" s="453"/>
      <c r="K16" s="82"/>
    </row>
    <row r="17" spans="1:11" s="70" customFormat="1" ht="16.2" thickBot="1" x14ac:dyDescent="0.35">
      <c r="A17" s="262"/>
      <c r="B17" s="263" t="s">
        <v>51</v>
      </c>
      <c r="C17" s="264"/>
      <c r="D17" s="265">
        <f>+D7+D8+D9+D13</f>
        <v>32000</v>
      </c>
      <c r="E17" s="266"/>
      <c r="F17" s="267"/>
      <c r="G17" s="268"/>
      <c r="H17" s="454"/>
      <c r="I17" s="454"/>
      <c r="J17" s="454"/>
      <c r="K17" s="269"/>
    </row>
    <row r="18" spans="1:11" ht="15" thickTop="1" x14ac:dyDescent="0.3">
      <c r="A18" s="72"/>
      <c r="B18" s="73"/>
      <c r="C18" s="74"/>
      <c r="D18" s="75"/>
      <c r="E18" s="76"/>
      <c r="F18" s="77"/>
      <c r="G18" s="78"/>
      <c r="H18" s="455"/>
      <c r="I18" s="456"/>
      <c r="J18" s="456"/>
      <c r="K18" s="84"/>
    </row>
    <row r="19" spans="1:11" s="71" customFormat="1" ht="15.6" x14ac:dyDescent="0.3">
      <c r="A19" s="279" t="s">
        <v>70</v>
      </c>
      <c r="B19" s="280" t="s">
        <v>71</v>
      </c>
      <c r="C19" s="281"/>
      <c r="D19" s="282" t="s">
        <v>75</v>
      </c>
      <c r="E19" s="283" t="s">
        <v>72</v>
      </c>
      <c r="F19" s="284" t="s">
        <v>73</v>
      </c>
      <c r="G19" s="285" t="s">
        <v>74</v>
      </c>
      <c r="H19" s="457"/>
      <c r="I19" s="457"/>
      <c r="J19" s="457"/>
      <c r="K19" s="286"/>
    </row>
    <row r="20" spans="1:11" x14ac:dyDescent="0.3">
      <c r="A20" s="64"/>
      <c r="B20" s="171">
        <f ca="1">+Liquiditätsplan!C6</f>
        <v>2023</v>
      </c>
      <c r="C20" s="63"/>
      <c r="D20" s="49">
        <f>+$G$14</f>
        <v>2183.5457140057606</v>
      </c>
      <c r="E20" s="49">
        <f>+D14*$E$14</f>
        <v>300</v>
      </c>
      <c r="F20" s="49">
        <f>+D20-E20</f>
        <v>1883.5457140057606</v>
      </c>
      <c r="G20" s="49">
        <f>+D14-F20</f>
        <v>8116.4542859942394</v>
      </c>
      <c r="H20" s="451"/>
      <c r="I20" s="439"/>
      <c r="J20" s="439"/>
      <c r="K20" s="83"/>
    </row>
    <row r="21" spans="1:11" x14ac:dyDescent="0.3">
      <c r="A21" s="64"/>
      <c r="B21" s="171">
        <f ca="1">+Liquiditätsplan!D6</f>
        <v>2024</v>
      </c>
      <c r="C21" s="63"/>
      <c r="D21" s="49">
        <f t="shared" ref="D21:D24" si="1">+$G$14</f>
        <v>2183.5457140057606</v>
      </c>
      <c r="E21" s="49">
        <f>+G20*$E$14</f>
        <v>243.49362857982717</v>
      </c>
      <c r="F21" s="49">
        <f>+D21-E21</f>
        <v>1940.0520854259335</v>
      </c>
      <c r="G21" s="49">
        <f>+G20-F21</f>
        <v>6176.4022005683055</v>
      </c>
      <c r="H21" s="439"/>
      <c r="I21" s="439"/>
      <c r="J21" s="439"/>
      <c r="K21" s="83"/>
    </row>
    <row r="22" spans="1:11" s="1" customFormat="1" ht="15.6" x14ac:dyDescent="0.3">
      <c r="A22" s="79"/>
      <c r="B22" s="171">
        <f ca="1">+Liquiditätsplan!E6</f>
        <v>2025</v>
      </c>
      <c r="C22" s="85"/>
      <c r="D22" s="49">
        <f t="shared" si="1"/>
        <v>2183.5457140057606</v>
      </c>
      <c r="E22" s="49">
        <f t="shared" ref="E22:E24" si="2">+G21*$E$14</f>
        <v>185.29206601704917</v>
      </c>
      <c r="F22" s="49">
        <f t="shared" ref="F22:F24" si="3">+D22-E22</f>
        <v>1998.2536479887115</v>
      </c>
      <c r="G22" s="49">
        <f t="shared" ref="G22:G24" si="4">+G21-F22</f>
        <v>4178.1485525795943</v>
      </c>
      <c r="H22" s="439"/>
      <c r="I22" s="439"/>
      <c r="J22" s="439"/>
      <c r="K22" s="86"/>
    </row>
    <row r="23" spans="1:11" x14ac:dyDescent="0.3">
      <c r="A23" s="64"/>
      <c r="B23" s="171">
        <f ca="1">+Liquiditätsplan!F6</f>
        <v>2026</v>
      </c>
      <c r="C23" s="63"/>
      <c r="D23" s="49">
        <f t="shared" si="1"/>
        <v>2183.5457140057606</v>
      </c>
      <c r="E23" s="49">
        <f t="shared" si="2"/>
        <v>125.34445657738782</v>
      </c>
      <c r="F23" s="49">
        <f t="shared" si="3"/>
        <v>2058.2012574283726</v>
      </c>
      <c r="G23" s="49">
        <f t="shared" si="4"/>
        <v>2119.9472951512216</v>
      </c>
      <c r="H23" s="439"/>
      <c r="I23" s="439"/>
      <c r="J23" s="439"/>
      <c r="K23" s="83"/>
    </row>
    <row r="24" spans="1:11" x14ac:dyDescent="0.3">
      <c r="A24" s="64"/>
      <c r="B24" s="171">
        <f ca="1">+Liquiditätsplan!G6</f>
        <v>2027</v>
      </c>
      <c r="C24" s="63"/>
      <c r="D24" s="49">
        <f t="shared" si="1"/>
        <v>2183.5457140057606</v>
      </c>
      <c r="E24" s="49">
        <f t="shared" si="2"/>
        <v>63.598418854536646</v>
      </c>
      <c r="F24" s="49">
        <f t="shared" si="3"/>
        <v>2119.9472951512239</v>
      </c>
      <c r="G24" s="49">
        <f t="shared" si="4"/>
        <v>0</v>
      </c>
      <c r="H24" s="439"/>
      <c r="I24" s="439"/>
      <c r="J24" s="439"/>
      <c r="K24" s="83"/>
    </row>
    <row r="25" spans="1:11" ht="15" thickBot="1" x14ac:dyDescent="0.35">
      <c r="A25" s="382"/>
      <c r="B25" s="383"/>
      <c r="C25" s="383"/>
      <c r="D25" s="383"/>
      <c r="E25" s="383"/>
      <c r="F25" s="383"/>
      <c r="G25" s="383"/>
      <c r="H25" s="383"/>
      <c r="I25" s="383"/>
      <c r="J25" s="383"/>
      <c r="K25" s="384"/>
    </row>
    <row r="26" spans="1:11" ht="15" thickTop="1" x14ac:dyDescent="0.3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3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x14ac:dyDescent="0.3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x14ac:dyDescent="0.3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</row>
  </sheetData>
  <sheetProtection password="DCAC" sheet="1" selectLockedCells="1"/>
  <mergeCells count="21">
    <mergeCell ref="H21:J21"/>
    <mergeCell ref="H16:J16"/>
    <mergeCell ref="H17:J17"/>
    <mergeCell ref="H18:J18"/>
    <mergeCell ref="H19:J19"/>
    <mergeCell ref="H22:J22"/>
    <mergeCell ref="H23:J23"/>
    <mergeCell ref="H24:J24"/>
    <mergeCell ref="C3:H3"/>
    <mergeCell ref="C4:H4"/>
    <mergeCell ref="H6:J6"/>
    <mergeCell ref="H7:J7"/>
    <mergeCell ref="H8:J8"/>
    <mergeCell ref="H9:J9"/>
    <mergeCell ref="H12:J12"/>
    <mergeCell ref="H10:J10"/>
    <mergeCell ref="H11:J11"/>
    <mergeCell ref="H13:J13"/>
    <mergeCell ref="H14:J14"/>
    <mergeCell ref="H15:J15"/>
    <mergeCell ref="H20:J20"/>
  </mergeCells>
  <phoneticPr fontId="2" type="noConversion"/>
  <pageMargins left="0.59055118110236227" right="0.59055118110236227" top="1.3779527559055118" bottom="0.59055118110236227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A10:A12 A14:A15 A16" twoDigitTextYea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showGridLines="0" zoomScaleNormal="100" workbookViewId="0">
      <selection activeCell="D9" sqref="D9"/>
    </sheetView>
  </sheetViews>
  <sheetFormatPr baseColWidth="10" defaultColWidth="11.5546875" defaultRowHeight="14.4" x14ac:dyDescent="0.3"/>
  <cols>
    <col min="1" max="1" width="5.109375" style="17" bestFit="1" customWidth="1"/>
    <col min="2" max="2" width="40.109375" customWidth="1"/>
    <col min="3" max="3" width="3.33203125" customWidth="1"/>
    <col min="4" max="8" width="13.6640625" customWidth="1"/>
    <col min="9" max="9" width="11" bestFit="1" customWidth="1"/>
    <col min="10" max="10" width="5.6640625" customWidth="1"/>
  </cols>
  <sheetData>
    <row r="1" spans="1:11" s="115" customFormat="1" ht="23.4" x14ac:dyDescent="0.45">
      <c r="A1" s="114" t="s">
        <v>62</v>
      </c>
      <c r="B1" s="113" t="s">
        <v>78</v>
      </c>
      <c r="C1" s="113"/>
      <c r="D1" s="113"/>
      <c r="E1" s="113"/>
      <c r="F1" s="113"/>
      <c r="G1" s="113"/>
      <c r="H1" s="113"/>
      <c r="I1" s="113"/>
      <c r="J1" s="113"/>
    </row>
    <row r="2" spans="1:11" ht="5.4" customHeight="1" x14ac:dyDescent="0.3">
      <c r="A2" s="327"/>
      <c r="B2" s="63"/>
      <c r="C2" s="63"/>
      <c r="D2" s="63"/>
      <c r="E2" s="63"/>
      <c r="F2" s="63"/>
      <c r="G2" s="63"/>
      <c r="H2" s="63"/>
      <c r="I2" s="63"/>
      <c r="J2" s="63"/>
    </row>
    <row r="3" spans="1:11" s="1" customFormat="1" ht="15.6" x14ac:dyDescent="0.3">
      <c r="A3" s="328"/>
      <c r="B3" s="329" t="s">
        <v>2</v>
      </c>
      <c r="C3" s="418" t="str">
        <f>+Datenblatt!D3</f>
        <v>Muster eGen</v>
      </c>
      <c r="D3" s="419"/>
      <c r="E3" s="419"/>
      <c r="F3" s="419"/>
      <c r="G3" s="419"/>
      <c r="H3" s="330"/>
      <c r="I3" s="331"/>
      <c r="J3" s="332"/>
    </row>
    <row r="4" spans="1:11" s="1" customFormat="1" ht="15.6" x14ac:dyDescent="0.3">
      <c r="A4" s="50"/>
      <c r="B4" s="51" t="s">
        <v>3</v>
      </c>
      <c r="C4" s="420" t="str">
        <f>+Datenblatt!D4</f>
        <v>PLZ Ort, Straße Nr.</v>
      </c>
      <c r="D4" s="421"/>
      <c r="E4" s="421"/>
      <c r="F4" s="421"/>
      <c r="G4" s="421"/>
      <c r="H4" s="51"/>
      <c r="I4" s="51"/>
      <c r="J4" s="80"/>
      <c r="K4" s="4"/>
    </row>
    <row r="5" spans="1:11" x14ac:dyDescent="0.3">
      <c r="A5" s="52"/>
      <c r="B5" s="53"/>
      <c r="C5" s="53"/>
      <c r="D5" s="53"/>
      <c r="E5" s="53"/>
      <c r="F5" s="53"/>
      <c r="G5" s="66"/>
      <c r="H5" s="53"/>
      <c r="I5" s="53"/>
      <c r="J5" s="81"/>
    </row>
    <row r="6" spans="1:11" s="1" customFormat="1" ht="15.6" x14ac:dyDescent="0.3">
      <c r="A6" s="50"/>
      <c r="B6" s="93" t="s">
        <v>45</v>
      </c>
      <c r="C6" s="51"/>
      <c r="D6" s="167">
        <f ca="1">+'Quick Check'!C6</f>
        <v>2023</v>
      </c>
      <c r="E6" s="167">
        <f ca="1">+'Quick Check'!D6</f>
        <v>2024</v>
      </c>
      <c r="F6" s="167">
        <f ca="1">+'Quick Check'!E6</f>
        <v>2025</v>
      </c>
      <c r="G6" s="167">
        <f ca="1">+'Quick Check'!F6</f>
        <v>2026</v>
      </c>
      <c r="H6" s="54">
        <f ca="1">+'Quick Check'!G6</f>
        <v>2027</v>
      </c>
      <c r="I6" s="91"/>
      <c r="J6" s="80"/>
    </row>
    <row r="7" spans="1:11" s="70" customFormat="1" ht="15.6" x14ac:dyDescent="0.3">
      <c r="A7" s="313" t="s">
        <v>0</v>
      </c>
      <c r="B7" s="314" t="s">
        <v>50</v>
      </c>
      <c r="C7" s="315"/>
      <c r="D7" s="316"/>
      <c r="E7" s="316"/>
      <c r="F7" s="317"/>
      <c r="G7" s="318"/>
      <c r="H7" s="316"/>
      <c r="I7" s="319"/>
      <c r="J7" s="320"/>
    </row>
    <row r="8" spans="1:11" s="3" customFormat="1" x14ac:dyDescent="0.3">
      <c r="A8" s="59" t="s">
        <v>5</v>
      </c>
      <c r="B8" s="94" t="s">
        <v>79</v>
      </c>
      <c r="C8" s="95"/>
      <c r="D8" s="36">
        <f>+Finanzierungsplan!D7</f>
        <v>10000</v>
      </c>
      <c r="E8" s="36">
        <f>+D12</f>
        <v>10000</v>
      </c>
      <c r="F8" s="36">
        <f t="shared" ref="F8:H8" si="0">+E12</f>
        <v>10000</v>
      </c>
      <c r="G8" s="36">
        <f t="shared" si="0"/>
        <v>10000</v>
      </c>
      <c r="H8" s="36">
        <f t="shared" si="0"/>
        <v>10000</v>
      </c>
      <c r="I8" s="40"/>
      <c r="J8" s="82"/>
    </row>
    <row r="9" spans="1:11" s="3" customFormat="1" x14ac:dyDescent="0.3">
      <c r="A9" s="59" t="s">
        <v>8</v>
      </c>
      <c r="B9" s="60" t="s">
        <v>80</v>
      </c>
      <c r="C9" s="95"/>
      <c r="D9" s="273"/>
      <c r="E9" s="273"/>
      <c r="F9" s="273"/>
      <c r="G9" s="333"/>
      <c r="H9" s="273"/>
      <c r="I9" s="40"/>
      <c r="J9" s="82"/>
    </row>
    <row r="10" spans="1:11" s="3" customFormat="1" x14ac:dyDescent="0.3">
      <c r="A10" s="59" t="s">
        <v>9</v>
      </c>
      <c r="B10" s="60" t="s">
        <v>81</v>
      </c>
      <c r="C10" s="95"/>
      <c r="D10" s="273"/>
      <c r="E10" s="273"/>
      <c r="F10" s="273"/>
      <c r="G10" s="333"/>
      <c r="H10" s="273"/>
      <c r="I10" s="40"/>
      <c r="J10" s="82"/>
    </row>
    <row r="11" spans="1:11" s="89" customFormat="1" x14ac:dyDescent="0.3">
      <c r="A11" s="100" t="s">
        <v>10</v>
      </c>
      <c r="B11" s="101" t="s">
        <v>82</v>
      </c>
      <c r="C11" s="95"/>
      <c r="D11" s="102">
        <f>+D8*Finanzierungsplan!$E$7</f>
        <v>0</v>
      </c>
      <c r="E11" s="102">
        <f>+E8*Finanzierungsplan!$E$7</f>
        <v>0</v>
      </c>
      <c r="F11" s="102">
        <f>+F8*Finanzierungsplan!$E$7</f>
        <v>0</v>
      </c>
      <c r="G11" s="102">
        <f>+G8*Finanzierungsplan!$E$7</f>
        <v>0</v>
      </c>
      <c r="H11" s="102">
        <f>+H8*Finanzierungsplan!$E$7</f>
        <v>0</v>
      </c>
      <c r="I11" s="103"/>
      <c r="J11" s="104"/>
    </row>
    <row r="12" spans="1:11" s="71" customFormat="1" ht="15" thickBot="1" x14ac:dyDescent="0.35">
      <c r="A12" s="300"/>
      <c r="B12" s="267" t="s">
        <v>153</v>
      </c>
      <c r="C12" s="304"/>
      <c r="D12" s="305">
        <f>+D8+D9-D10</f>
        <v>10000</v>
      </c>
      <c r="E12" s="305">
        <f t="shared" ref="E12:H12" si="1">+E8+E9-E10</f>
        <v>10000</v>
      </c>
      <c r="F12" s="305">
        <f t="shared" si="1"/>
        <v>10000</v>
      </c>
      <c r="G12" s="305">
        <f t="shared" si="1"/>
        <v>10000</v>
      </c>
      <c r="H12" s="305">
        <f t="shared" si="1"/>
        <v>10000</v>
      </c>
      <c r="I12" s="303"/>
      <c r="J12" s="302"/>
    </row>
    <row r="13" spans="1:11" s="3" customFormat="1" ht="9" customHeight="1" thickTop="1" x14ac:dyDescent="0.3">
      <c r="A13" s="59"/>
      <c r="B13" s="97"/>
      <c r="C13" s="95"/>
      <c r="D13" s="36"/>
      <c r="E13" s="36"/>
      <c r="F13" s="36"/>
      <c r="G13" s="96"/>
      <c r="H13" s="36"/>
      <c r="I13" s="40"/>
      <c r="J13" s="82"/>
    </row>
    <row r="14" spans="1:11" s="70" customFormat="1" ht="15.6" x14ac:dyDescent="0.3">
      <c r="A14" s="287" t="s">
        <v>19</v>
      </c>
      <c r="B14" s="288" t="s">
        <v>52</v>
      </c>
      <c r="C14" s="321"/>
      <c r="D14" s="322"/>
      <c r="E14" s="322"/>
      <c r="F14" s="323"/>
      <c r="G14" s="324"/>
      <c r="H14" s="322"/>
      <c r="I14" s="325"/>
      <c r="J14" s="326"/>
    </row>
    <row r="15" spans="1:11" s="107" customFormat="1" x14ac:dyDescent="0.3">
      <c r="A15" s="100" t="s">
        <v>83</v>
      </c>
      <c r="B15" s="105" t="str">
        <f>+Finanzierungsplan!B10 &amp;" Zinsen"</f>
        <v>Nachrangdarlehen Zinsen</v>
      </c>
      <c r="C15" s="101"/>
      <c r="D15" s="102">
        <f>+Finanzierungsplan!$G10</f>
        <v>320</v>
      </c>
      <c r="E15" s="102">
        <f>+Finanzierungsplan!$G10</f>
        <v>320</v>
      </c>
      <c r="F15" s="102">
        <f>+Finanzierungsplan!$G10</f>
        <v>320</v>
      </c>
      <c r="G15" s="102">
        <f>+Finanzierungsplan!$G10</f>
        <v>320</v>
      </c>
      <c r="H15" s="102">
        <f>+Finanzierungsplan!$G10</f>
        <v>320</v>
      </c>
      <c r="I15" s="103"/>
      <c r="J15" s="104"/>
    </row>
    <row r="16" spans="1:11" s="107" customFormat="1" x14ac:dyDescent="0.3">
      <c r="A16" s="100" t="s">
        <v>84</v>
      </c>
      <c r="B16" s="105" t="str">
        <f>IF(Finanzierungsplan!B11="","-",Finanzierungsplan!B11 &amp;" Zinsen")</f>
        <v>-</v>
      </c>
      <c r="C16" s="101"/>
      <c r="D16" s="102">
        <f>+Finanzierungsplan!$G11</f>
        <v>0</v>
      </c>
      <c r="E16" s="102">
        <f>+Finanzierungsplan!$G11</f>
        <v>0</v>
      </c>
      <c r="F16" s="102">
        <f>+Finanzierungsplan!$G11</f>
        <v>0</v>
      </c>
      <c r="G16" s="102">
        <f>+Finanzierungsplan!$G11</f>
        <v>0</v>
      </c>
      <c r="H16" s="102">
        <f>+Finanzierungsplan!$G11</f>
        <v>0</v>
      </c>
      <c r="I16" s="103"/>
      <c r="J16" s="104"/>
    </row>
    <row r="17" spans="1:10" s="89" customFormat="1" x14ac:dyDescent="0.3">
      <c r="A17" s="100" t="s">
        <v>85</v>
      </c>
      <c r="B17" s="105" t="str">
        <f>IF(Finanzierungsplan!B12="","-",Finanzierungsplan!B12 &amp;" Zinsen")</f>
        <v>-</v>
      </c>
      <c r="C17" s="108"/>
      <c r="D17" s="102">
        <f>+Finanzierungsplan!$G12</f>
        <v>0</v>
      </c>
      <c r="E17" s="102">
        <f>+Finanzierungsplan!$G12</f>
        <v>0</v>
      </c>
      <c r="F17" s="102">
        <f>+Finanzierungsplan!$G12</f>
        <v>0</v>
      </c>
      <c r="G17" s="102">
        <f>+Finanzierungsplan!$G12</f>
        <v>0</v>
      </c>
      <c r="H17" s="102">
        <f>+Finanzierungsplan!$G12</f>
        <v>0</v>
      </c>
      <c r="I17" s="103"/>
      <c r="J17" s="104"/>
    </row>
    <row r="18" spans="1:10" s="71" customFormat="1" ht="15" thickBot="1" x14ac:dyDescent="0.35">
      <c r="A18" s="300"/>
      <c r="B18" s="267" t="s">
        <v>86</v>
      </c>
      <c r="C18" s="301"/>
      <c r="D18" s="265">
        <f>SUM(D15:D17)</f>
        <v>320</v>
      </c>
      <c r="E18" s="265">
        <f t="shared" ref="E18:H18" si="2">SUM(E15:E17)</f>
        <v>320</v>
      </c>
      <c r="F18" s="265">
        <f t="shared" si="2"/>
        <v>320</v>
      </c>
      <c r="G18" s="265">
        <f t="shared" si="2"/>
        <v>320</v>
      </c>
      <c r="H18" s="265">
        <f t="shared" si="2"/>
        <v>320</v>
      </c>
      <c r="I18" s="303"/>
      <c r="J18" s="302"/>
    </row>
    <row r="19" spans="1:10" ht="9" customHeight="1" thickTop="1" x14ac:dyDescent="0.3">
      <c r="A19" s="72"/>
      <c r="B19" s="73"/>
      <c r="C19" s="74"/>
      <c r="D19" s="75"/>
      <c r="E19" s="75"/>
      <c r="F19" s="75"/>
      <c r="G19" s="78"/>
      <c r="H19" s="98"/>
      <c r="I19" s="38"/>
      <c r="J19" s="84"/>
    </row>
    <row r="20" spans="1:10" s="71" customFormat="1" ht="15.6" x14ac:dyDescent="0.3">
      <c r="A20" s="287" t="s">
        <v>47</v>
      </c>
      <c r="B20" s="288" t="s">
        <v>54</v>
      </c>
      <c r="C20" s="306"/>
      <c r="D20" s="307"/>
      <c r="E20" s="308"/>
      <c r="F20" s="308"/>
      <c r="G20" s="309"/>
      <c r="H20" s="310"/>
      <c r="I20" s="311"/>
      <c r="J20" s="312"/>
    </row>
    <row r="21" spans="1:10" x14ac:dyDescent="0.3">
      <c r="A21" s="52" t="s">
        <v>87</v>
      </c>
      <c r="B21" s="111" t="s">
        <v>60</v>
      </c>
      <c r="C21" s="53"/>
      <c r="D21" s="118">
        <f>SUM(D22:D23)</f>
        <v>2183.5457140057606</v>
      </c>
      <c r="E21" s="118">
        <f t="shared" ref="E21:H21" si="3">SUM(E22:E23)</f>
        <v>2183.5457140057606</v>
      </c>
      <c r="F21" s="118">
        <f t="shared" si="3"/>
        <v>2183.5457140057606</v>
      </c>
      <c r="G21" s="118">
        <f t="shared" si="3"/>
        <v>2183.5457140057606</v>
      </c>
      <c r="H21" s="118">
        <f t="shared" si="3"/>
        <v>2183.5457140057606</v>
      </c>
      <c r="I21" s="112"/>
      <c r="J21" s="81"/>
    </row>
    <row r="22" spans="1:10" x14ac:dyDescent="0.3">
      <c r="A22" s="59" t="s">
        <v>88</v>
      </c>
      <c r="B22" s="164" t="s">
        <v>73</v>
      </c>
      <c r="C22" s="63"/>
      <c r="D22" s="49">
        <f>+Finanzierungsplan!F20</f>
        <v>1883.5457140057606</v>
      </c>
      <c r="E22" s="49">
        <f>+Finanzierungsplan!F21</f>
        <v>1940.0520854259335</v>
      </c>
      <c r="F22" s="49">
        <f>+Finanzierungsplan!F22</f>
        <v>1998.2536479887115</v>
      </c>
      <c r="G22" s="49">
        <f>+Finanzierungsplan!F23</f>
        <v>2058.2012574283726</v>
      </c>
      <c r="H22" s="99">
        <f>+Finanzierungsplan!F24</f>
        <v>2119.9472951512239</v>
      </c>
      <c r="I22" s="41"/>
      <c r="J22" s="83"/>
    </row>
    <row r="23" spans="1:10" s="89" customFormat="1" x14ac:dyDescent="0.3">
      <c r="A23" s="100" t="s">
        <v>89</v>
      </c>
      <c r="B23" s="165" t="s">
        <v>90</v>
      </c>
      <c r="C23" s="109"/>
      <c r="D23" s="102">
        <f>+Finanzierungsplan!E20</f>
        <v>300</v>
      </c>
      <c r="E23" s="102">
        <f>+Finanzierungsplan!E21</f>
        <v>243.49362857982717</v>
      </c>
      <c r="F23" s="102">
        <f>+Finanzierungsplan!E22</f>
        <v>185.29206601704917</v>
      </c>
      <c r="G23" s="102">
        <f>+Finanzierungsplan!E23</f>
        <v>125.34445657738782</v>
      </c>
      <c r="H23" s="106">
        <f>+Finanzierungsplan!E24</f>
        <v>63.598418854536646</v>
      </c>
      <c r="I23" s="103"/>
      <c r="J23" s="104"/>
    </row>
    <row r="24" spans="1:10" s="1" customFormat="1" ht="15.6" x14ac:dyDescent="0.3">
      <c r="A24" s="59" t="s">
        <v>91</v>
      </c>
      <c r="B24" s="35" t="s">
        <v>68</v>
      </c>
      <c r="C24" s="85"/>
      <c r="D24" s="49"/>
      <c r="E24" s="49"/>
      <c r="F24" s="49"/>
      <c r="G24" s="49"/>
      <c r="H24" s="99"/>
      <c r="I24" s="41"/>
      <c r="J24" s="86"/>
    </row>
    <row r="25" spans="1:10" s="89" customFormat="1" x14ac:dyDescent="0.3">
      <c r="A25" s="100" t="s">
        <v>92</v>
      </c>
      <c r="B25" s="165" t="s">
        <v>90</v>
      </c>
      <c r="C25" s="109"/>
      <c r="D25" s="102">
        <f>+Finanzierungsplan!$G$15</f>
        <v>0</v>
      </c>
      <c r="E25" s="102">
        <f>+Finanzierungsplan!$G$15</f>
        <v>0</v>
      </c>
      <c r="F25" s="102">
        <f>+Finanzierungsplan!$G$15</f>
        <v>0</v>
      </c>
      <c r="G25" s="102">
        <f>+Finanzierungsplan!$G$15</f>
        <v>0</v>
      </c>
      <c r="H25" s="102">
        <f>+Finanzierungsplan!$G$15</f>
        <v>0</v>
      </c>
      <c r="I25" s="103"/>
      <c r="J25" s="104"/>
    </row>
    <row r="26" spans="1:10" x14ac:dyDescent="0.3">
      <c r="A26" s="64" t="s">
        <v>93</v>
      </c>
      <c r="B26" s="35" t="str">
        <f>IF(Finanzierungsplan!B16="","-",Finanzierungsplan!B16)</f>
        <v>Betriebsmittelkredit</v>
      </c>
      <c r="C26" s="63"/>
      <c r="D26" s="49"/>
      <c r="E26" s="49"/>
      <c r="F26" s="49"/>
      <c r="G26" s="49"/>
      <c r="H26" s="99"/>
      <c r="I26" s="41"/>
      <c r="J26" s="83"/>
    </row>
    <row r="27" spans="1:10" s="89" customFormat="1" x14ac:dyDescent="0.3">
      <c r="A27" s="100" t="s">
        <v>94</v>
      </c>
      <c r="B27" s="166" t="str">
        <f>IF(B26="-","","Zinsen")</f>
        <v>Zinsen</v>
      </c>
      <c r="C27" s="109"/>
      <c r="D27" s="110">
        <f>+Finanzierungsplan!$G$16</f>
        <v>70</v>
      </c>
      <c r="E27" s="110">
        <f>+Finanzierungsplan!$G$16</f>
        <v>70</v>
      </c>
      <c r="F27" s="110">
        <f>+Finanzierungsplan!$G$16</f>
        <v>70</v>
      </c>
      <c r="G27" s="110">
        <f>+Finanzierungsplan!$G$16</f>
        <v>70</v>
      </c>
      <c r="H27" s="110">
        <f>+Finanzierungsplan!$G$16</f>
        <v>70</v>
      </c>
      <c r="I27" s="109"/>
      <c r="J27" s="104"/>
    </row>
    <row r="28" spans="1:10" s="71" customFormat="1" ht="15" thickBot="1" x14ac:dyDescent="0.35">
      <c r="A28" s="300"/>
      <c r="B28" s="267" t="s">
        <v>86</v>
      </c>
      <c r="C28" s="301"/>
      <c r="D28" s="265">
        <f>+D23+D25+D27</f>
        <v>370</v>
      </c>
      <c r="E28" s="265">
        <f t="shared" ref="E28:H28" si="4">+E23+E25+E27</f>
        <v>313.49362857982715</v>
      </c>
      <c r="F28" s="265">
        <f t="shared" si="4"/>
        <v>255.29206601704917</v>
      </c>
      <c r="G28" s="265">
        <f t="shared" si="4"/>
        <v>195.3444565773878</v>
      </c>
      <c r="H28" s="265">
        <f t="shared" si="4"/>
        <v>133.59841885453665</v>
      </c>
      <c r="I28" s="301"/>
      <c r="J28" s="302"/>
    </row>
    <row r="29" spans="1:10" ht="15" thickTop="1" x14ac:dyDescent="0.3">
      <c r="A29" s="87"/>
      <c r="B29" s="88"/>
      <c r="C29" s="88"/>
      <c r="D29" s="88"/>
      <c r="E29" s="88"/>
      <c r="F29" s="88"/>
      <c r="G29" s="88"/>
      <c r="H29" s="88"/>
      <c r="I29" s="88"/>
      <c r="J29" s="88"/>
    </row>
    <row r="30" spans="1:10" x14ac:dyDescent="0.3">
      <c r="A30" s="87"/>
      <c r="B30" s="88"/>
      <c r="C30" s="88"/>
      <c r="D30" s="88"/>
      <c r="E30" s="88"/>
      <c r="F30" s="88"/>
      <c r="G30" s="88"/>
      <c r="H30" s="88"/>
      <c r="I30" s="88"/>
      <c r="J30" s="88"/>
    </row>
  </sheetData>
  <sheetProtection password="DCAC" sheet="1" selectLockedCells="1"/>
  <mergeCells count="2">
    <mergeCell ref="C3:G3"/>
    <mergeCell ref="C4:G4"/>
  </mergeCells>
  <phoneticPr fontId="2" type="noConversion"/>
  <pageMargins left="0.59055118110236227" right="0.59055118110236227" top="1.3779527559055118" bottom="0.59055118110236227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A22:A23 A25 A27" twoDigitTextYear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"/>
  <sheetViews>
    <sheetView showGridLines="0" zoomScaleNormal="100" workbookViewId="0">
      <selection activeCell="K8" sqref="K8"/>
    </sheetView>
  </sheetViews>
  <sheetFormatPr baseColWidth="10" defaultColWidth="11.5546875" defaultRowHeight="14.4" x14ac:dyDescent="0.3"/>
  <cols>
    <col min="1" max="1" width="3.6640625" style="17" bestFit="1" customWidth="1"/>
    <col min="2" max="2" width="35.33203125" customWidth="1"/>
    <col min="3" max="3" width="13.6640625" customWidth="1"/>
    <col min="4" max="4" width="5.33203125" bestFit="1" customWidth="1"/>
    <col min="5" max="5" width="13.6640625" customWidth="1"/>
    <col min="6" max="6" width="5.33203125" bestFit="1" customWidth="1"/>
    <col min="7" max="7" width="13.6640625" customWidth="1"/>
    <col min="8" max="8" width="5.33203125" bestFit="1" customWidth="1"/>
    <col min="9" max="9" width="13.6640625" customWidth="1"/>
    <col min="10" max="10" width="5.33203125" bestFit="1" customWidth="1"/>
    <col min="11" max="11" width="13.6640625" customWidth="1"/>
    <col min="12" max="12" width="5.33203125" bestFit="1" customWidth="1"/>
  </cols>
  <sheetData>
    <row r="1" spans="1:13" s="115" customFormat="1" ht="23.4" x14ac:dyDescent="0.45">
      <c r="A1" s="114" t="s">
        <v>63</v>
      </c>
      <c r="B1" s="113" t="s">
        <v>95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3" ht="5.4" customHeight="1" x14ac:dyDescent="0.3">
      <c r="A2" s="327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3" s="1" customFormat="1" ht="15.6" x14ac:dyDescent="0.3">
      <c r="A3" s="328"/>
      <c r="B3" s="329" t="s">
        <v>2</v>
      </c>
      <c r="C3" s="419" t="str">
        <f>+Datenblatt!D3</f>
        <v>Muster eGen</v>
      </c>
      <c r="D3" s="419"/>
      <c r="E3" s="419"/>
      <c r="F3" s="419"/>
      <c r="G3" s="419"/>
      <c r="H3" s="419"/>
      <c r="I3" s="419"/>
      <c r="J3" s="379"/>
      <c r="K3" s="330"/>
      <c r="L3" s="332"/>
    </row>
    <row r="4" spans="1:13" s="1" customFormat="1" ht="15.6" x14ac:dyDescent="0.3">
      <c r="A4" s="50"/>
      <c r="B4" s="51" t="s">
        <v>3</v>
      </c>
      <c r="C4" s="421" t="str">
        <f>+Datenblatt!D4</f>
        <v>PLZ Ort, Straße Nr.</v>
      </c>
      <c r="D4" s="421"/>
      <c r="E4" s="421"/>
      <c r="F4" s="421"/>
      <c r="G4" s="421"/>
      <c r="H4" s="421"/>
      <c r="I4" s="421"/>
      <c r="J4" s="119"/>
      <c r="K4" s="51"/>
      <c r="L4" s="80"/>
      <c r="M4" s="4"/>
    </row>
    <row r="5" spans="1:13" ht="5.25" customHeight="1" x14ac:dyDescent="0.3">
      <c r="A5" s="52"/>
      <c r="B5" s="53"/>
      <c r="C5" s="53"/>
      <c r="D5" s="53"/>
      <c r="E5" s="53"/>
      <c r="F5" s="53"/>
      <c r="G5" s="53"/>
      <c r="H5" s="53"/>
      <c r="I5" s="66"/>
      <c r="J5" s="66"/>
      <c r="K5" s="53"/>
      <c r="L5" s="81"/>
    </row>
    <row r="6" spans="1:13" s="1" customFormat="1" ht="15.6" x14ac:dyDescent="0.3">
      <c r="A6" s="287"/>
      <c r="B6" s="375" t="s">
        <v>45</v>
      </c>
      <c r="C6" s="376">
        <f ca="1">+'Quick Check'!C6</f>
        <v>2023</v>
      </c>
      <c r="D6" s="377" t="s">
        <v>46</v>
      </c>
      <c r="E6" s="376">
        <f ca="1">+'Quick Check'!D6</f>
        <v>2024</v>
      </c>
      <c r="F6" s="377" t="s">
        <v>46</v>
      </c>
      <c r="G6" s="376">
        <f ca="1">+'Quick Check'!E6</f>
        <v>2025</v>
      </c>
      <c r="H6" s="377" t="s">
        <v>46</v>
      </c>
      <c r="I6" s="376">
        <f ca="1">+'Quick Check'!F6</f>
        <v>2026</v>
      </c>
      <c r="J6" s="377" t="s">
        <v>46</v>
      </c>
      <c r="K6" s="376">
        <f ca="1">+'Quick Check'!G6</f>
        <v>2027</v>
      </c>
      <c r="L6" s="378" t="s">
        <v>46</v>
      </c>
    </row>
    <row r="7" spans="1:13" s="3" customFormat="1" x14ac:dyDescent="0.3">
      <c r="A7" s="61"/>
      <c r="B7" s="92" t="s">
        <v>96</v>
      </c>
      <c r="C7" s="334">
        <v>10000</v>
      </c>
      <c r="D7" s="125">
        <f>+C7/C$7</f>
        <v>1</v>
      </c>
      <c r="E7" s="334">
        <v>14000</v>
      </c>
      <c r="F7" s="125">
        <f>+E7/E$7</f>
        <v>1</v>
      </c>
      <c r="G7" s="334">
        <v>18000</v>
      </c>
      <c r="H7" s="125">
        <f>+G7/G$7</f>
        <v>1</v>
      </c>
      <c r="I7" s="336">
        <v>22000</v>
      </c>
      <c r="J7" s="125">
        <f>+I7/I$7</f>
        <v>1</v>
      </c>
      <c r="K7" s="334">
        <v>30000</v>
      </c>
      <c r="L7" s="128">
        <f>+K7/K$7</f>
        <v>1</v>
      </c>
    </row>
    <row r="8" spans="1:13" s="3" customFormat="1" x14ac:dyDescent="0.3">
      <c r="A8" s="121"/>
      <c r="B8" s="60" t="s">
        <v>97</v>
      </c>
      <c r="C8" s="335"/>
      <c r="D8" s="126"/>
      <c r="E8" s="335"/>
      <c r="F8" s="126"/>
      <c r="G8" s="335"/>
      <c r="H8" s="126"/>
      <c r="I8" s="335"/>
      <c r="J8" s="126"/>
      <c r="K8" s="335"/>
      <c r="L8" s="129"/>
    </row>
    <row r="9" spans="1:13" s="3" customFormat="1" ht="5.0999999999999996" customHeight="1" x14ac:dyDescent="0.3">
      <c r="A9" s="121"/>
      <c r="B9" s="60"/>
      <c r="C9" s="127"/>
      <c r="D9" s="126"/>
      <c r="E9" s="127"/>
      <c r="F9" s="126"/>
      <c r="G9" s="127"/>
      <c r="H9" s="126"/>
      <c r="I9" s="123"/>
      <c r="J9" s="126"/>
      <c r="K9" s="127"/>
      <c r="L9" s="129"/>
    </row>
    <row r="10" spans="1:13" s="3" customFormat="1" x14ac:dyDescent="0.3">
      <c r="A10" s="121"/>
      <c r="B10" s="60" t="s">
        <v>98</v>
      </c>
      <c r="C10" s="335">
        <v>2700</v>
      </c>
      <c r="D10" s="126">
        <f t="shared" ref="D10" si="0">+C10/C$7</f>
        <v>0.27</v>
      </c>
      <c r="E10" s="335">
        <v>4050</v>
      </c>
      <c r="F10" s="126">
        <f>+E10/E$7</f>
        <v>0.28928571428571431</v>
      </c>
      <c r="G10" s="335">
        <v>5400</v>
      </c>
      <c r="H10" s="126">
        <f>+G10/G$7</f>
        <v>0.3</v>
      </c>
      <c r="I10" s="335">
        <v>6750</v>
      </c>
      <c r="J10" s="126">
        <f>+I10/I$7</f>
        <v>0.30681818181818182</v>
      </c>
      <c r="K10" s="335">
        <v>10000</v>
      </c>
      <c r="L10" s="129">
        <f>+K10/K$7</f>
        <v>0.33333333333333331</v>
      </c>
    </row>
    <row r="11" spans="1:13" s="71" customFormat="1" x14ac:dyDescent="0.3">
      <c r="A11" s="356"/>
      <c r="B11" s="357" t="s">
        <v>99</v>
      </c>
      <c r="C11" s="358">
        <f>+C7+C8-C10</f>
        <v>7300</v>
      </c>
      <c r="D11" s="359">
        <f>+C11/C$7</f>
        <v>0.73</v>
      </c>
      <c r="E11" s="358">
        <f>+E7+E8-E10</f>
        <v>9950</v>
      </c>
      <c r="F11" s="359">
        <f>+E11/E$7</f>
        <v>0.71071428571428574</v>
      </c>
      <c r="G11" s="358">
        <f>+G7+G8-G10</f>
        <v>12600</v>
      </c>
      <c r="H11" s="359">
        <f>+G11/G$7</f>
        <v>0.7</v>
      </c>
      <c r="I11" s="358">
        <f>+I7+I8-I10</f>
        <v>15250</v>
      </c>
      <c r="J11" s="359">
        <f>+I11/I$7</f>
        <v>0.69318181818181823</v>
      </c>
      <c r="K11" s="358">
        <f>+K7+K8-K10</f>
        <v>20000</v>
      </c>
      <c r="L11" s="360">
        <f>+K11/K$7</f>
        <v>0.66666666666666663</v>
      </c>
    </row>
    <row r="12" spans="1:13" s="3" customFormat="1" ht="5.0999999999999996" customHeight="1" x14ac:dyDescent="0.3">
      <c r="A12" s="121"/>
      <c r="B12" s="97"/>
      <c r="C12" s="127"/>
      <c r="D12" s="126"/>
      <c r="E12" s="127"/>
      <c r="F12" s="126"/>
      <c r="G12" s="127"/>
      <c r="H12" s="126"/>
      <c r="I12" s="127"/>
      <c r="J12" s="126"/>
      <c r="K12" s="127"/>
      <c r="L12" s="129"/>
    </row>
    <row r="13" spans="1:13" s="3" customFormat="1" ht="14.4" customHeight="1" x14ac:dyDescent="0.3">
      <c r="A13" s="121"/>
      <c r="B13" s="97" t="s">
        <v>115</v>
      </c>
      <c r="C13" s="127">
        <f>+Finanzierungsplan!$D$8/Finanzierungsplan!$F$8</f>
        <v>200</v>
      </c>
      <c r="D13" s="126"/>
      <c r="E13" s="127">
        <f>+Finanzierungsplan!$D$8/Finanzierungsplan!$F$8</f>
        <v>200</v>
      </c>
      <c r="F13" s="126"/>
      <c r="G13" s="127">
        <f>+Finanzierungsplan!$D$8/Finanzierungsplan!$F$8</f>
        <v>200</v>
      </c>
      <c r="H13" s="126"/>
      <c r="I13" s="127">
        <f>+Finanzierungsplan!$D$8/Finanzierungsplan!$F$8</f>
        <v>200</v>
      </c>
      <c r="J13" s="126"/>
      <c r="K13" s="127">
        <f>+Finanzierungsplan!$D$8/Finanzierungsplan!$F$8</f>
        <v>200</v>
      </c>
      <c r="L13" s="129"/>
    </row>
    <row r="14" spans="1:13" s="3" customFormat="1" x14ac:dyDescent="0.3">
      <c r="A14" s="121"/>
      <c r="B14" s="60" t="s">
        <v>100</v>
      </c>
      <c r="C14" s="335"/>
      <c r="D14" s="126"/>
      <c r="E14" s="335"/>
      <c r="F14" s="126"/>
      <c r="G14" s="335"/>
      <c r="H14" s="126"/>
      <c r="I14" s="337"/>
      <c r="J14" s="126"/>
      <c r="K14" s="335"/>
      <c r="L14" s="129"/>
    </row>
    <row r="15" spans="1:13" s="16" customFormat="1" x14ac:dyDescent="0.3">
      <c r="A15" s="356"/>
      <c r="B15" s="361" t="s">
        <v>101</v>
      </c>
      <c r="C15" s="358">
        <f>+C11+C13+C14</f>
        <v>7500</v>
      </c>
      <c r="D15" s="359">
        <f t="shared" ref="D15:F19" si="1">+C15/C$7</f>
        <v>0.75</v>
      </c>
      <c r="E15" s="358">
        <f>+E11+E13+E14</f>
        <v>10150</v>
      </c>
      <c r="F15" s="359">
        <f t="shared" ref="F15" si="2">+E15/E$7</f>
        <v>0.72499999999999998</v>
      </c>
      <c r="G15" s="358">
        <f>+G11+G13+G14</f>
        <v>12800</v>
      </c>
      <c r="H15" s="359">
        <f t="shared" ref="H15" si="3">+G15/G$7</f>
        <v>0.71111111111111114</v>
      </c>
      <c r="I15" s="358">
        <f>+I11+I13+I14</f>
        <v>15450</v>
      </c>
      <c r="J15" s="359">
        <f t="shared" ref="J15" si="4">+I15/I$7</f>
        <v>0.70227272727272727</v>
      </c>
      <c r="K15" s="358">
        <f>+K11+K13+K14</f>
        <v>20200</v>
      </c>
      <c r="L15" s="360">
        <f t="shared" ref="L15" si="5">+K15/K$7</f>
        <v>0.67333333333333334</v>
      </c>
    </row>
    <row r="16" spans="1:13" s="9" customFormat="1" ht="5.0999999999999996" customHeight="1" x14ac:dyDescent="0.3">
      <c r="A16" s="121"/>
      <c r="B16" s="97"/>
      <c r="C16" s="127"/>
      <c r="D16" s="126"/>
      <c r="E16" s="127"/>
      <c r="F16" s="126"/>
      <c r="G16" s="127"/>
      <c r="H16" s="126"/>
      <c r="I16" s="127"/>
      <c r="J16" s="126"/>
      <c r="K16" s="127"/>
      <c r="L16" s="129"/>
    </row>
    <row r="17" spans="1:12" s="3" customFormat="1" x14ac:dyDescent="0.3">
      <c r="A17" s="121"/>
      <c r="B17" s="97" t="s">
        <v>102</v>
      </c>
      <c r="C17" s="335">
        <v>1000</v>
      </c>
      <c r="D17" s="126">
        <f t="shared" si="1"/>
        <v>0.1</v>
      </c>
      <c r="E17" s="335">
        <v>2000</v>
      </c>
      <c r="F17" s="126">
        <f t="shared" si="1"/>
        <v>0.14285714285714285</v>
      </c>
      <c r="G17" s="335">
        <v>2500</v>
      </c>
      <c r="H17" s="126">
        <f t="shared" ref="H17" si="6">+G17/G$7</f>
        <v>0.1388888888888889</v>
      </c>
      <c r="I17" s="335">
        <v>2500</v>
      </c>
      <c r="J17" s="126">
        <f t="shared" ref="J17" si="7">+I17/I$7</f>
        <v>0.11363636363636363</v>
      </c>
      <c r="K17" s="335">
        <v>3000</v>
      </c>
      <c r="L17" s="129">
        <f t="shared" ref="L17" si="8">+K17/K$7</f>
        <v>0.1</v>
      </c>
    </row>
    <row r="18" spans="1:12" s="3" customFormat="1" x14ac:dyDescent="0.3">
      <c r="A18" s="121"/>
      <c r="B18" s="97" t="s">
        <v>103</v>
      </c>
      <c r="C18" s="127">
        <f>+AfA!$F$15</f>
        <v>3500</v>
      </c>
      <c r="D18" s="126">
        <f t="shared" si="1"/>
        <v>0.35</v>
      </c>
      <c r="E18" s="127">
        <f>+AfA!$F$15</f>
        <v>3500</v>
      </c>
      <c r="F18" s="126">
        <f t="shared" si="1"/>
        <v>0.25</v>
      </c>
      <c r="G18" s="127">
        <f>+AfA!$F$15</f>
        <v>3500</v>
      </c>
      <c r="H18" s="126">
        <f t="shared" ref="H18" si="9">+G18/G$7</f>
        <v>0.19444444444444445</v>
      </c>
      <c r="I18" s="127">
        <f>+AfA!$F$15</f>
        <v>3500</v>
      </c>
      <c r="J18" s="126">
        <f t="shared" ref="J18" si="10">+I18/I$7</f>
        <v>0.15909090909090909</v>
      </c>
      <c r="K18" s="127">
        <f>+AfA!$F$15</f>
        <v>3500</v>
      </c>
      <c r="L18" s="129">
        <f t="shared" ref="L18" si="11">+K18/K$7</f>
        <v>0.11666666666666667</v>
      </c>
    </row>
    <row r="19" spans="1:12" s="3" customFormat="1" x14ac:dyDescent="0.3">
      <c r="A19" s="121"/>
      <c r="B19" s="97" t="s">
        <v>104</v>
      </c>
      <c r="C19" s="127">
        <f>SUM(C20:C24)</f>
        <v>1000</v>
      </c>
      <c r="D19" s="126">
        <f>+C19/C$7</f>
        <v>0.1</v>
      </c>
      <c r="E19" s="127">
        <f>SUM(E20:E24)</f>
        <v>1500</v>
      </c>
      <c r="F19" s="126">
        <f t="shared" si="1"/>
        <v>0.10714285714285714</v>
      </c>
      <c r="G19" s="127">
        <f>SUM(G20:G24)</f>
        <v>1000</v>
      </c>
      <c r="H19" s="126">
        <f t="shared" ref="H19" si="12">+G19/G$7</f>
        <v>5.5555555555555552E-2</v>
      </c>
      <c r="I19" s="127">
        <f>SUM(I20:I24)</f>
        <v>1500</v>
      </c>
      <c r="J19" s="126">
        <f t="shared" ref="J19" si="13">+I19/I$7</f>
        <v>6.8181818181818177E-2</v>
      </c>
      <c r="K19" s="127">
        <f>SUM(K20:K24)</f>
        <v>1000</v>
      </c>
      <c r="L19" s="129">
        <f t="shared" ref="L19" si="14">+K19/K$7</f>
        <v>3.3333333333333333E-2</v>
      </c>
    </row>
    <row r="20" spans="1:12" s="3" customFormat="1" x14ac:dyDescent="0.3">
      <c r="A20" s="121"/>
      <c r="B20" s="124" t="s">
        <v>105</v>
      </c>
      <c r="C20" s="339">
        <v>500</v>
      </c>
      <c r="D20" s="126"/>
      <c r="E20" s="339">
        <v>500</v>
      </c>
      <c r="F20" s="126"/>
      <c r="G20" s="339">
        <v>500</v>
      </c>
      <c r="H20" s="126"/>
      <c r="I20" s="339">
        <v>500</v>
      </c>
      <c r="J20" s="126"/>
      <c r="K20" s="339">
        <v>500</v>
      </c>
      <c r="L20" s="129"/>
    </row>
    <row r="21" spans="1:12" s="3" customFormat="1" x14ac:dyDescent="0.3">
      <c r="A21" s="121"/>
      <c r="B21" s="124" t="s">
        <v>106</v>
      </c>
      <c r="C21" s="339"/>
      <c r="D21" s="126"/>
      <c r="E21" s="339">
        <v>500</v>
      </c>
      <c r="F21" s="126"/>
      <c r="G21" s="339"/>
      <c r="H21" s="126"/>
      <c r="I21" s="339">
        <v>500</v>
      </c>
      <c r="J21" s="126"/>
      <c r="K21" s="339"/>
      <c r="L21" s="129"/>
    </row>
    <row r="22" spans="1:12" s="3" customFormat="1" x14ac:dyDescent="0.3">
      <c r="A22" s="121"/>
      <c r="B22" s="341" t="s">
        <v>104</v>
      </c>
      <c r="C22" s="339">
        <v>500</v>
      </c>
      <c r="D22" s="126"/>
      <c r="E22" s="339">
        <v>500</v>
      </c>
      <c r="F22" s="126"/>
      <c r="G22" s="339">
        <v>500</v>
      </c>
      <c r="H22" s="126"/>
      <c r="I22" s="339">
        <v>500</v>
      </c>
      <c r="J22" s="126"/>
      <c r="K22" s="339">
        <v>500</v>
      </c>
      <c r="L22" s="129"/>
    </row>
    <row r="23" spans="1:12" s="3" customFormat="1" x14ac:dyDescent="0.3">
      <c r="A23" s="121"/>
      <c r="B23" s="341"/>
      <c r="C23" s="339"/>
      <c r="D23" s="126"/>
      <c r="E23" s="339"/>
      <c r="F23" s="126"/>
      <c r="G23" s="339"/>
      <c r="H23" s="126"/>
      <c r="I23" s="339"/>
      <c r="J23" s="126"/>
      <c r="K23" s="339"/>
      <c r="L23" s="129"/>
    </row>
    <row r="24" spans="1:12" s="3" customFormat="1" x14ac:dyDescent="0.3">
      <c r="A24" s="121"/>
      <c r="B24" s="342"/>
      <c r="C24" s="340"/>
      <c r="D24" s="130"/>
      <c r="E24" s="340"/>
      <c r="F24" s="130"/>
      <c r="G24" s="340"/>
      <c r="H24" s="130"/>
      <c r="I24" s="340"/>
      <c r="J24" s="130"/>
      <c r="K24" s="340"/>
      <c r="L24" s="133"/>
    </row>
    <row r="25" spans="1:12" s="71" customFormat="1" x14ac:dyDescent="0.3">
      <c r="A25" s="356"/>
      <c r="B25" s="357" t="s">
        <v>107</v>
      </c>
      <c r="C25" s="362">
        <f>SUM(C17:C19)</f>
        <v>5500</v>
      </c>
      <c r="D25" s="363">
        <f>+C25/C$7</f>
        <v>0.55000000000000004</v>
      </c>
      <c r="E25" s="362">
        <f>SUM(E17:E19)</f>
        <v>7000</v>
      </c>
      <c r="F25" s="363">
        <f>+E25/E$7</f>
        <v>0.5</v>
      </c>
      <c r="G25" s="362">
        <f>SUM(G17:G19)</f>
        <v>7000</v>
      </c>
      <c r="H25" s="363">
        <f>+G25/G$7</f>
        <v>0.3888888888888889</v>
      </c>
      <c r="I25" s="362">
        <f>SUM(I17:I19)</f>
        <v>7500</v>
      </c>
      <c r="J25" s="363">
        <f>+I25/I$7</f>
        <v>0.34090909090909088</v>
      </c>
      <c r="K25" s="362">
        <f>SUM(K17:K19)</f>
        <v>7500</v>
      </c>
      <c r="L25" s="364">
        <f>+K25/K$7</f>
        <v>0.25</v>
      </c>
    </row>
    <row r="26" spans="1:12" s="3" customFormat="1" ht="5.0999999999999996" customHeight="1" x14ac:dyDescent="0.3">
      <c r="A26" s="365"/>
      <c r="B26" s="366"/>
      <c r="C26" s="367"/>
      <c r="D26" s="368"/>
      <c r="E26" s="367"/>
      <c r="F26" s="368"/>
      <c r="G26" s="367"/>
      <c r="H26" s="368"/>
      <c r="I26" s="367"/>
      <c r="J26" s="368"/>
      <c r="K26" s="367"/>
      <c r="L26" s="369"/>
    </row>
    <row r="27" spans="1:12" s="71" customFormat="1" x14ac:dyDescent="0.3">
      <c r="A27" s="370"/>
      <c r="B27" s="371" t="s">
        <v>110</v>
      </c>
      <c r="C27" s="372">
        <f>+C15-C25</f>
        <v>2000</v>
      </c>
      <c r="D27" s="373">
        <f>+C27/C$7</f>
        <v>0.2</v>
      </c>
      <c r="E27" s="372">
        <f>+E15-E25</f>
        <v>3150</v>
      </c>
      <c r="F27" s="373">
        <f>+E27/E$7</f>
        <v>0.22500000000000001</v>
      </c>
      <c r="G27" s="372">
        <f>+G15-G25</f>
        <v>5800</v>
      </c>
      <c r="H27" s="373">
        <f t="shared" ref="H27" si="15">+G27/G$7</f>
        <v>0.32222222222222224</v>
      </c>
      <c r="I27" s="372">
        <f>+I15-I25</f>
        <v>7950</v>
      </c>
      <c r="J27" s="373">
        <f>+I27/I$7</f>
        <v>0.36136363636363639</v>
      </c>
      <c r="K27" s="372">
        <f>+K15-K25</f>
        <v>12700</v>
      </c>
      <c r="L27" s="374">
        <f>+K27/K$7</f>
        <v>0.42333333333333334</v>
      </c>
    </row>
    <row r="28" spans="1:12" s="3" customFormat="1" ht="5.0999999999999996" customHeight="1" x14ac:dyDescent="0.3">
      <c r="A28" s="121"/>
      <c r="B28" s="60"/>
      <c r="C28" s="122"/>
      <c r="D28" s="130"/>
      <c r="E28" s="122"/>
      <c r="F28" s="130"/>
      <c r="G28" s="122"/>
      <c r="H28" s="131"/>
      <c r="I28" s="122"/>
      <c r="J28" s="130"/>
      <c r="K28" s="122"/>
      <c r="L28" s="133"/>
    </row>
    <row r="29" spans="1:12" s="71" customFormat="1" x14ac:dyDescent="0.3">
      <c r="A29" s="15"/>
      <c r="B29" s="9" t="s">
        <v>108</v>
      </c>
      <c r="C29" s="335"/>
      <c r="D29" s="132"/>
      <c r="E29" s="335"/>
      <c r="F29" s="132"/>
      <c r="G29" s="335"/>
      <c r="H29" s="132"/>
      <c r="I29" s="335"/>
      <c r="J29" s="132"/>
      <c r="K29" s="335"/>
      <c r="L29" s="134"/>
    </row>
    <row r="30" spans="1:12" s="3" customFormat="1" ht="5.0999999999999996" customHeight="1" x14ac:dyDescent="0.3">
      <c r="A30" s="8"/>
      <c r="B30" s="9"/>
      <c r="C30" s="120"/>
      <c r="D30" s="132"/>
      <c r="E30" s="120"/>
      <c r="F30" s="132"/>
      <c r="G30" s="120"/>
      <c r="H30" s="132"/>
      <c r="I30" s="120"/>
      <c r="J30" s="132"/>
      <c r="K30" s="120"/>
      <c r="L30" s="134"/>
    </row>
    <row r="31" spans="1:12" x14ac:dyDescent="0.3">
      <c r="A31" s="19"/>
      <c r="B31" s="7" t="s">
        <v>112</v>
      </c>
      <c r="C31" s="135">
        <f>Annuitätenplan!D18+Annuitätenplan!D28</f>
        <v>690</v>
      </c>
      <c r="D31" s="132"/>
      <c r="E31" s="135">
        <f>Annuitätenplan!E18+Annuitätenplan!E28</f>
        <v>633.49362857982715</v>
      </c>
      <c r="F31" s="132"/>
      <c r="G31" s="135">
        <f>Annuitätenplan!F18+Annuitätenplan!F28</f>
        <v>575.29206601704914</v>
      </c>
      <c r="H31" s="132"/>
      <c r="I31" s="135">
        <f>Annuitätenplan!G18+Annuitätenplan!G28</f>
        <v>515.34445657738775</v>
      </c>
      <c r="J31" s="132"/>
      <c r="K31" s="135">
        <f>Annuitätenplan!H18+Annuitätenplan!H28</f>
        <v>453.59841885453665</v>
      </c>
      <c r="L31" s="134"/>
    </row>
    <row r="32" spans="1:12" ht="5.0999999999999996" customHeight="1" x14ac:dyDescent="0.3">
      <c r="A32" s="19"/>
      <c r="B32" s="7"/>
      <c r="C32" s="117"/>
      <c r="D32" s="132"/>
      <c r="E32" s="117"/>
      <c r="F32" s="132"/>
      <c r="G32" s="117"/>
      <c r="H32" s="132"/>
      <c r="I32" s="117"/>
      <c r="J32" s="132"/>
      <c r="K32" s="117"/>
      <c r="L32" s="134"/>
    </row>
    <row r="33" spans="1:12" s="3" customFormat="1" x14ac:dyDescent="0.3">
      <c r="A33" s="351"/>
      <c r="B33" s="352" t="s">
        <v>111</v>
      </c>
      <c r="C33" s="353">
        <f>+C29-C31</f>
        <v>-690</v>
      </c>
      <c r="D33" s="354">
        <f>+C33/C$7</f>
        <v>-6.9000000000000006E-2</v>
      </c>
      <c r="E33" s="353">
        <f>+E29-E31</f>
        <v>-633.49362857982715</v>
      </c>
      <c r="F33" s="354">
        <f>+E33/E$7</f>
        <v>-4.5249544898559084E-2</v>
      </c>
      <c r="G33" s="353">
        <f>+G29-G31</f>
        <v>-575.29206601704914</v>
      </c>
      <c r="H33" s="354">
        <f>+G33/G$7</f>
        <v>-3.196067033428051E-2</v>
      </c>
      <c r="I33" s="353">
        <f>+I29-I31</f>
        <v>-515.34445657738775</v>
      </c>
      <c r="J33" s="354">
        <f>+I33/I$7</f>
        <v>-2.3424748026244897E-2</v>
      </c>
      <c r="K33" s="353">
        <f>+K29-K31</f>
        <v>-453.59841885453665</v>
      </c>
      <c r="L33" s="355">
        <f>+K33/K$7</f>
        <v>-1.5119947295151221E-2</v>
      </c>
    </row>
    <row r="34" spans="1:12" ht="3" customHeight="1" x14ac:dyDescent="0.3">
      <c r="A34" s="19"/>
      <c r="B34" s="7"/>
      <c r="C34" s="117"/>
      <c r="D34" s="132"/>
      <c r="E34" s="117"/>
      <c r="F34" s="132"/>
      <c r="G34" s="117"/>
      <c r="H34" s="132"/>
      <c r="I34" s="117"/>
      <c r="J34" s="132"/>
      <c r="K34" s="117"/>
      <c r="L34" s="134"/>
    </row>
    <row r="35" spans="1:12" s="71" customFormat="1" x14ac:dyDescent="0.3">
      <c r="A35" s="346"/>
      <c r="B35" s="347" t="s">
        <v>155</v>
      </c>
      <c r="C35" s="348">
        <f>+C27+C33</f>
        <v>1310</v>
      </c>
      <c r="D35" s="349">
        <f>+C35/C$7</f>
        <v>0.13100000000000001</v>
      </c>
      <c r="E35" s="348">
        <f>+E27+E33</f>
        <v>2516.5063714201729</v>
      </c>
      <c r="F35" s="349">
        <f>+E35/E$7</f>
        <v>0.17975045510144091</v>
      </c>
      <c r="G35" s="348">
        <f>+G27+G33</f>
        <v>5224.7079339829506</v>
      </c>
      <c r="H35" s="349">
        <f>+G35/G$7</f>
        <v>0.29026155188794173</v>
      </c>
      <c r="I35" s="348">
        <f>+I27+I33</f>
        <v>7434.655543422612</v>
      </c>
      <c r="J35" s="349">
        <f>+I35/I$7</f>
        <v>0.33793888833739144</v>
      </c>
      <c r="K35" s="348">
        <f>+K27+K33</f>
        <v>12246.401581145463</v>
      </c>
      <c r="L35" s="350">
        <f>+K35/K$7</f>
        <v>0.40821338603818208</v>
      </c>
    </row>
    <row r="36" spans="1:12" s="71" customFormat="1" ht="5.0999999999999996" customHeight="1" x14ac:dyDescent="0.3">
      <c r="A36" s="222"/>
      <c r="B36" s="223"/>
      <c r="C36" s="224"/>
      <c r="D36" s="225"/>
      <c r="E36" s="224"/>
      <c r="F36" s="225"/>
      <c r="G36" s="224"/>
      <c r="H36" s="225"/>
      <c r="I36" s="224"/>
      <c r="J36" s="225"/>
      <c r="K36" s="224"/>
      <c r="L36" s="226"/>
    </row>
    <row r="37" spans="1:12" s="140" customFormat="1" ht="12" x14ac:dyDescent="0.25">
      <c r="A37" s="230"/>
      <c r="B37" s="227" t="s">
        <v>157</v>
      </c>
      <c r="C37" s="228">
        <f>IF(C35&lt;0,0,+C35*$D$37)</f>
        <v>327.5</v>
      </c>
      <c r="D37" s="338">
        <v>0.25</v>
      </c>
      <c r="E37" s="228">
        <f>IF(E35&lt;0,0,+E35*$D$37)</f>
        <v>629.12659285504321</v>
      </c>
      <c r="F37" s="229">
        <f>+E37/E35</f>
        <v>0.25</v>
      </c>
      <c r="G37" s="228">
        <f>IF(G35&lt;0,0,+G35*$D$37)</f>
        <v>1306.1769834957377</v>
      </c>
      <c r="H37" s="229">
        <f>+G37/G35</f>
        <v>0.25</v>
      </c>
      <c r="I37" s="228">
        <f>IF(I35&lt;0,0,+I35*$D$37)</f>
        <v>1858.663885855653</v>
      </c>
      <c r="J37" s="229">
        <f>+I37/I35</f>
        <v>0.25</v>
      </c>
      <c r="K37" s="228">
        <f>IF(K35&lt;0,0,+K35*$D$37)</f>
        <v>3061.6003952863657</v>
      </c>
      <c r="L37" s="231">
        <f>+K37/K35</f>
        <v>0.25</v>
      </c>
    </row>
    <row r="38" spans="1:12" s="71" customFormat="1" ht="5.0999999999999996" customHeight="1" x14ac:dyDescent="0.3">
      <c r="A38" s="232"/>
      <c r="B38" s="233"/>
      <c r="C38" s="234"/>
      <c r="D38" s="235"/>
      <c r="E38" s="234"/>
      <c r="F38" s="235"/>
      <c r="G38" s="234"/>
      <c r="H38" s="235"/>
      <c r="I38" s="234"/>
      <c r="J38" s="235"/>
      <c r="K38" s="234"/>
      <c r="L38" s="236"/>
    </row>
    <row r="39" spans="1:12" s="71" customFormat="1" ht="15" thickBot="1" x14ac:dyDescent="0.35">
      <c r="A39" s="295"/>
      <c r="B39" s="296" t="s">
        <v>156</v>
      </c>
      <c r="C39" s="343">
        <f>+C35-C37</f>
        <v>982.5</v>
      </c>
      <c r="D39" s="344">
        <f>+C39/C$7</f>
        <v>9.8250000000000004E-2</v>
      </c>
      <c r="E39" s="343">
        <f>+E35-E37</f>
        <v>1887.3797785651295</v>
      </c>
      <c r="F39" s="344">
        <f>+E39/E$7</f>
        <v>0.13481284132608068</v>
      </c>
      <c r="G39" s="343">
        <f>+G35-G37</f>
        <v>3918.530950487213</v>
      </c>
      <c r="H39" s="344">
        <f>+G39/G$7</f>
        <v>0.21769616391595628</v>
      </c>
      <c r="I39" s="343">
        <f>+I35-I37</f>
        <v>5575.9916575669595</v>
      </c>
      <c r="J39" s="344">
        <f>+I39/I$7</f>
        <v>0.25345416625304362</v>
      </c>
      <c r="K39" s="343">
        <f>+K35-K37</f>
        <v>9184.801185859098</v>
      </c>
      <c r="L39" s="345">
        <f>+K39/K$7</f>
        <v>0.30616003952863657</v>
      </c>
    </row>
    <row r="40" spans="1:12" s="71" customFormat="1" ht="3" customHeight="1" thickTop="1" x14ac:dyDescent="0.3">
      <c r="A40" s="219"/>
      <c r="B40" s="9"/>
      <c r="C40" s="220"/>
      <c r="D40" s="221"/>
      <c r="E40" s="220"/>
      <c r="F40" s="221"/>
      <c r="G40" s="220"/>
      <c r="H40" s="221"/>
      <c r="I40" s="220"/>
      <c r="J40" s="221"/>
      <c r="K40" s="220"/>
      <c r="L40" s="221"/>
    </row>
  </sheetData>
  <sheetProtection password="DCAC" sheet="1" selectLockedCells="1"/>
  <mergeCells count="2">
    <mergeCell ref="C3:I3"/>
    <mergeCell ref="C4:I4"/>
  </mergeCells>
  <pageMargins left="0.59055118110236227" right="0.59055118110236227" top="1.3779527559055118" bottom="0.55118110236220474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D11:K11 D18:K19 D25 K25 D27 K27 D33 K33:K35 D35 D15:K15 E35:J37 E24:J33 D34:J34 F23:J23 F21:F22 H21:H22 J21:J22 E39:J39 E38:J38 D39 D38 K37:K38 K39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showGridLines="0" zoomScaleNormal="100" workbookViewId="0">
      <selection activeCell="C9" sqref="C9"/>
    </sheetView>
  </sheetViews>
  <sheetFormatPr baseColWidth="10" defaultColWidth="11.5546875" defaultRowHeight="14.4" x14ac:dyDescent="0.3"/>
  <cols>
    <col min="1" max="1" width="3.6640625" style="17" bestFit="1" customWidth="1"/>
    <col min="2" max="2" width="49.109375" customWidth="1"/>
    <col min="3" max="7" width="15.5546875" customWidth="1"/>
    <col min="8" max="8" width="3.33203125" customWidth="1"/>
  </cols>
  <sheetData>
    <row r="1" spans="1:8" s="115" customFormat="1" ht="23.4" x14ac:dyDescent="0.45">
      <c r="A1" s="114" t="s">
        <v>113</v>
      </c>
      <c r="B1" s="113" t="s">
        <v>114</v>
      </c>
      <c r="C1" s="113"/>
      <c r="D1" s="113"/>
      <c r="E1" s="113"/>
      <c r="F1" s="113"/>
      <c r="G1" s="113"/>
    </row>
    <row r="2" spans="1:8" ht="5.4" customHeight="1" x14ac:dyDescent="0.3">
      <c r="A2" s="327"/>
      <c r="B2" s="63"/>
      <c r="C2" s="63"/>
      <c r="D2" s="63"/>
      <c r="E2" s="63"/>
      <c r="F2" s="63"/>
      <c r="G2" s="63"/>
    </row>
    <row r="3" spans="1:8" s="1" customFormat="1" ht="15.6" x14ac:dyDescent="0.3">
      <c r="A3" s="328"/>
      <c r="B3" s="329" t="s">
        <v>2</v>
      </c>
      <c r="C3" s="419" t="str">
        <f>+Datenblatt!D3</f>
        <v>Muster eGen</v>
      </c>
      <c r="D3" s="419"/>
      <c r="E3" s="419"/>
      <c r="F3" s="419"/>
      <c r="G3" s="330"/>
      <c r="H3" s="381"/>
    </row>
    <row r="4" spans="1:8" s="1" customFormat="1" ht="15.6" x14ac:dyDescent="0.3">
      <c r="A4" s="50"/>
      <c r="B4" s="51" t="s">
        <v>3</v>
      </c>
      <c r="C4" s="421" t="str">
        <f>+Datenblatt!D4</f>
        <v>PLZ Ort, Straße Nr.</v>
      </c>
      <c r="D4" s="421"/>
      <c r="E4" s="421"/>
      <c r="F4" s="421"/>
      <c r="G4" s="51"/>
      <c r="H4" s="12"/>
    </row>
    <row r="5" spans="1:8" ht="5.25" customHeight="1" x14ac:dyDescent="0.3">
      <c r="A5" s="52"/>
      <c r="B5" s="53"/>
      <c r="C5" s="53"/>
      <c r="D5" s="53"/>
      <c r="E5" s="53"/>
      <c r="F5" s="66"/>
      <c r="G5" s="53"/>
      <c r="H5" s="13"/>
    </row>
    <row r="6" spans="1:8" s="1" customFormat="1" ht="15.6" x14ac:dyDescent="0.3">
      <c r="A6" s="287"/>
      <c r="B6" s="375" t="s">
        <v>45</v>
      </c>
      <c r="C6" s="376">
        <f ca="1">+'Quick Check'!C6</f>
        <v>2023</v>
      </c>
      <c r="D6" s="376">
        <f ca="1">+'Quick Check'!D6</f>
        <v>2024</v>
      </c>
      <c r="E6" s="376">
        <f ca="1">+'Quick Check'!E6</f>
        <v>2025</v>
      </c>
      <c r="F6" s="376">
        <f ca="1">+'Quick Check'!F6</f>
        <v>2026</v>
      </c>
      <c r="G6" s="376">
        <f ca="1">+'Quick Check'!G6</f>
        <v>2027</v>
      </c>
      <c r="H6" s="247"/>
    </row>
    <row r="7" spans="1:8" s="3" customFormat="1" x14ac:dyDescent="0.3">
      <c r="A7" s="61"/>
      <c r="B7" s="92" t="s">
        <v>132</v>
      </c>
      <c r="C7" s="136">
        <f>+Wirtschaftlichkeit!C7+Wirtschaftlichkeit!C8+Wirtschaftlichkeit!C14</f>
        <v>10000</v>
      </c>
      <c r="D7" s="136">
        <f>+Wirtschaftlichkeit!E7+Wirtschaftlichkeit!E8+Wirtschaftlichkeit!E14</f>
        <v>14000</v>
      </c>
      <c r="E7" s="136">
        <f>+Wirtschaftlichkeit!G7+Wirtschaftlichkeit!G8+Wirtschaftlichkeit!G14</f>
        <v>18000</v>
      </c>
      <c r="F7" s="137">
        <f>+Wirtschaftlichkeit!I7+Wirtschaftlichkeit!I8+Wirtschaftlichkeit!I14</f>
        <v>22000</v>
      </c>
      <c r="G7" s="136">
        <f>+Wirtschaftlichkeit!K7+Wirtschaftlichkeit!K8+Wirtschaftlichkeit!K14</f>
        <v>30000</v>
      </c>
      <c r="H7" s="142"/>
    </row>
    <row r="8" spans="1:8" s="3" customFormat="1" ht="5.25" customHeight="1" x14ac:dyDescent="0.3">
      <c r="A8" s="121"/>
      <c r="B8" s="60"/>
      <c r="C8" s="127"/>
      <c r="D8" s="127"/>
      <c r="E8" s="127"/>
      <c r="F8" s="96"/>
      <c r="G8" s="127"/>
      <c r="H8" s="142"/>
    </row>
    <row r="9" spans="1:8" s="71" customFormat="1" x14ac:dyDescent="0.3">
      <c r="A9" s="61"/>
      <c r="B9" s="92" t="s">
        <v>116</v>
      </c>
      <c r="C9" s="334"/>
      <c r="D9" s="334"/>
      <c r="E9" s="334"/>
      <c r="F9" s="334"/>
      <c r="G9" s="334"/>
      <c r="H9" s="143"/>
    </row>
    <row r="10" spans="1:8" s="3" customFormat="1" ht="5.25" customHeight="1" x14ac:dyDescent="0.3">
      <c r="A10" s="121"/>
      <c r="B10" s="97"/>
      <c r="C10" s="127"/>
      <c r="D10" s="127"/>
      <c r="E10" s="127"/>
      <c r="F10" s="127"/>
      <c r="G10" s="127"/>
      <c r="H10" s="142"/>
    </row>
    <row r="11" spans="1:8" s="16" customFormat="1" x14ac:dyDescent="0.3">
      <c r="A11" s="61"/>
      <c r="B11" s="62" t="s">
        <v>117</v>
      </c>
      <c r="C11" s="136">
        <f>SUM(C12:C15)</f>
        <v>32000</v>
      </c>
      <c r="D11" s="136">
        <f>SUM(D12:D15)</f>
        <v>0</v>
      </c>
      <c r="E11" s="136">
        <f t="shared" ref="E11:G11" si="0">SUM(E12:E15)</f>
        <v>0</v>
      </c>
      <c r="F11" s="136">
        <f t="shared" si="0"/>
        <v>0</v>
      </c>
      <c r="G11" s="136">
        <f t="shared" si="0"/>
        <v>0</v>
      </c>
      <c r="H11" s="143"/>
    </row>
    <row r="12" spans="1:8" s="140" customFormat="1" ht="12" x14ac:dyDescent="0.25">
      <c r="A12" s="141"/>
      <c r="B12" s="124" t="s">
        <v>118</v>
      </c>
      <c r="C12" s="139">
        <f>+Annuitätenplan!D8+Annuitätenplan!D9</f>
        <v>10000</v>
      </c>
      <c r="D12" s="139">
        <f>+Annuitätenplan!E9</f>
        <v>0</v>
      </c>
      <c r="E12" s="139">
        <f>+Annuitätenplan!F9</f>
        <v>0</v>
      </c>
      <c r="F12" s="139">
        <f>+Annuitätenplan!G9</f>
        <v>0</v>
      </c>
      <c r="G12" s="139">
        <f>+Annuitätenplan!H9</f>
        <v>0</v>
      </c>
      <c r="H12" s="144"/>
    </row>
    <row r="13" spans="1:8" s="140" customFormat="1" ht="12" x14ac:dyDescent="0.25">
      <c r="A13" s="141"/>
      <c r="B13" s="124" t="s">
        <v>120</v>
      </c>
      <c r="C13" s="139">
        <f>+Finanzierungsplan!D8</f>
        <v>2000</v>
      </c>
      <c r="D13" s="139"/>
      <c r="E13" s="139"/>
      <c r="F13" s="139"/>
      <c r="G13" s="139"/>
      <c r="H13" s="144"/>
    </row>
    <row r="14" spans="1:8" s="140" customFormat="1" ht="12" x14ac:dyDescent="0.25">
      <c r="A14" s="141"/>
      <c r="B14" s="124" t="s">
        <v>52</v>
      </c>
      <c r="C14" s="139">
        <f>+Finanzierungsplan!D10+Finanzierungsplan!D11+Finanzierungsplan!D12</f>
        <v>8000</v>
      </c>
      <c r="D14" s="139"/>
      <c r="E14" s="139"/>
      <c r="F14" s="139"/>
      <c r="G14" s="139"/>
      <c r="H14" s="144"/>
    </row>
    <row r="15" spans="1:8" s="140" customFormat="1" ht="12" x14ac:dyDescent="0.25">
      <c r="A15" s="141"/>
      <c r="B15" s="124" t="s">
        <v>54</v>
      </c>
      <c r="C15" s="139">
        <f>+Finanzierungsplan!D14+Finanzierungsplan!D15+Finanzierungsplan!D16</f>
        <v>12000</v>
      </c>
      <c r="D15" s="139"/>
      <c r="E15" s="139"/>
      <c r="F15" s="139"/>
      <c r="G15" s="139"/>
      <c r="H15" s="144"/>
    </row>
    <row r="16" spans="1:8" s="71" customFormat="1" x14ac:dyDescent="0.3">
      <c r="A16" s="370"/>
      <c r="B16" s="394" t="s">
        <v>121</v>
      </c>
      <c r="C16" s="395">
        <f>+C7+C9+C11</f>
        <v>42000</v>
      </c>
      <c r="D16" s="395">
        <f>+D7+D9+D11</f>
        <v>14000</v>
      </c>
      <c r="E16" s="395">
        <f t="shared" ref="E16:G16" si="1">+E7+E9+E11</f>
        <v>18000</v>
      </c>
      <c r="F16" s="395">
        <f t="shared" si="1"/>
        <v>22000</v>
      </c>
      <c r="G16" s="395">
        <f t="shared" si="1"/>
        <v>30000</v>
      </c>
      <c r="H16" s="393"/>
    </row>
    <row r="17" spans="1:8" s="3" customFormat="1" ht="5.25" customHeight="1" x14ac:dyDescent="0.3">
      <c r="A17" s="121"/>
      <c r="B17" s="97"/>
      <c r="C17" s="127"/>
      <c r="D17" s="127"/>
      <c r="E17" s="127"/>
      <c r="F17" s="127"/>
      <c r="G17" s="127"/>
      <c r="H17" s="142"/>
    </row>
    <row r="18" spans="1:8" s="71" customFormat="1" x14ac:dyDescent="0.3">
      <c r="A18" s="61"/>
      <c r="B18" s="92" t="s">
        <v>133</v>
      </c>
      <c r="C18" s="136">
        <f>SUM(C19:C21)</f>
        <v>5027.5</v>
      </c>
      <c r="D18" s="136">
        <f t="shared" ref="D18:G18" si="2">SUM(D19:D21)</f>
        <v>8179.1265928550438</v>
      </c>
      <c r="E18" s="136">
        <f t="shared" si="2"/>
        <v>10206.176983495738</v>
      </c>
      <c r="F18" s="136">
        <f t="shared" si="2"/>
        <v>12608.663885855653</v>
      </c>
      <c r="G18" s="136">
        <f t="shared" si="2"/>
        <v>17061.600395286365</v>
      </c>
      <c r="H18" s="143"/>
    </row>
    <row r="19" spans="1:8" s="140" customFormat="1" ht="12" x14ac:dyDescent="0.25">
      <c r="A19" s="141"/>
      <c r="B19" s="124" t="s">
        <v>144</v>
      </c>
      <c r="C19" s="139">
        <f>+Wirtschaftlichkeit!C10</f>
        <v>2700</v>
      </c>
      <c r="D19" s="139">
        <f>+Wirtschaftlichkeit!E10</f>
        <v>4050</v>
      </c>
      <c r="E19" s="139">
        <f>+Wirtschaftlichkeit!G10</f>
        <v>5400</v>
      </c>
      <c r="F19" s="139">
        <f>+Wirtschaftlichkeit!I10</f>
        <v>6750</v>
      </c>
      <c r="G19" s="139">
        <f>+Wirtschaftlichkeit!K10</f>
        <v>10000</v>
      </c>
      <c r="H19" s="144"/>
    </row>
    <row r="20" spans="1:8" s="140" customFormat="1" ht="12" x14ac:dyDescent="0.25">
      <c r="A20" s="141"/>
      <c r="B20" s="146" t="s">
        <v>122</v>
      </c>
      <c r="C20" s="139">
        <f>+Wirtschaftlichkeit!C17</f>
        <v>1000</v>
      </c>
      <c r="D20" s="139">
        <f>+Wirtschaftlichkeit!E17</f>
        <v>2000</v>
      </c>
      <c r="E20" s="139">
        <f>+Wirtschaftlichkeit!G17</f>
        <v>2500</v>
      </c>
      <c r="F20" s="139">
        <f>+Wirtschaftlichkeit!I17</f>
        <v>2500</v>
      </c>
      <c r="G20" s="139">
        <f>+Wirtschaftlichkeit!K17</f>
        <v>3000</v>
      </c>
      <c r="H20" s="144"/>
    </row>
    <row r="21" spans="1:8" s="140" customFormat="1" ht="12" x14ac:dyDescent="0.25">
      <c r="A21" s="141"/>
      <c r="B21" s="146" t="s">
        <v>159</v>
      </c>
      <c r="C21" s="139">
        <f>+Wirtschaftlichkeit!C19+Wirtschaftlichkeit!C37</f>
        <v>1327.5</v>
      </c>
      <c r="D21" s="139">
        <f>+Wirtschaftlichkeit!E19+Wirtschaftlichkeit!E37</f>
        <v>2129.1265928550433</v>
      </c>
      <c r="E21" s="139">
        <f>+Wirtschaftlichkeit!G19+Wirtschaftlichkeit!G37</f>
        <v>2306.1769834957377</v>
      </c>
      <c r="F21" s="139">
        <f>+Wirtschaftlichkeit!I19+Wirtschaftlichkeit!I37</f>
        <v>3358.663885855653</v>
      </c>
      <c r="G21" s="139">
        <f>+Wirtschaftlichkeit!K19+Wirtschaftlichkeit!K37</f>
        <v>4061.6003952863657</v>
      </c>
      <c r="H21" s="144"/>
    </row>
    <row r="22" spans="1:8" s="3" customFormat="1" ht="5.25" customHeight="1" x14ac:dyDescent="0.3">
      <c r="A22" s="121"/>
      <c r="B22" s="60"/>
      <c r="C22" s="122"/>
      <c r="D22" s="122"/>
      <c r="E22" s="122"/>
      <c r="F22" s="122"/>
      <c r="G22" s="122"/>
      <c r="H22" s="142"/>
    </row>
    <row r="23" spans="1:8" s="71" customFormat="1" x14ac:dyDescent="0.3">
      <c r="A23" s="61"/>
      <c r="B23" s="92" t="s">
        <v>123</v>
      </c>
      <c r="C23" s="138">
        <f>SUM(C24:C25)</f>
        <v>25000</v>
      </c>
      <c r="D23" s="138">
        <f t="shared" ref="D23:G23" si="3">SUM(D24:D25)</f>
        <v>0</v>
      </c>
      <c r="E23" s="138">
        <f t="shared" si="3"/>
        <v>0</v>
      </c>
      <c r="F23" s="138">
        <f t="shared" si="3"/>
        <v>0</v>
      </c>
      <c r="G23" s="138">
        <f t="shared" si="3"/>
        <v>0</v>
      </c>
      <c r="H23" s="143"/>
    </row>
    <row r="24" spans="1:8" s="140" customFormat="1" ht="12" x14ac:dyDescent="0.25">
      <c r="A24" s="141"/>
      <c r="B24" s="146" t="s">
        <v>124</v>
      </c>
      <c r="C24" s="147">
        <f>+Investitionsplan!D7+Investitionsplan!D8</f>
        <v>24000</v>
      </c>
      <c r="D24" s="147"/>
      <c r="E24" s="147"/>
      <c r="F24" s="147"/>
      <c r="G24" s="147"/>
      <c r="H24" s="144"/>
    </row>
    <row r="25" spans="1:8" s="140" customFormat="1" ht="12.6" customHeight="1" x14ac:dyDescent="0.25">
      <c r="A25" s="141"/>
      <c r="B25" s="146" t="s">
        <v>31</v>
      </c>
      <c r="C25" s="139">
        <f>+Investitionsplan!D15</f>
        <v>1000</v>
      </c>
      <c r="D25" s="139"/>
      <c r="E25" s="139"/>
      <c r="F25" s="139"/>
      <c r="G25" s="139"/>
      <c r="H25" s="144"/>
    </row>
    <row r="26" spans="1:8" ht="5.25" customHeight="1" x14ac:dyDescent="0.3">
      <c r="A26" s="121"/>
      <c r="B26" s="60"/>
      <c r="C26" s="122"/>
      <c r="D26" s="122"/>
      <c r="E26" s="122"/>
      <c r="F26" s="122"/>
      <c r="G26" s="122"/>
      <c r="H26" s="142"/>
    </row>
    <row r="27" spans="1:8" s="3" customFormat="1" x14ac:dyDescent="0.3">
      <c r="A27" s="61"/>
      <c r="B27" s="92" t="s">
        <v>125</v>
      </c>
      <c r="C27" s="138">
        <f>SUM(C28:C31)</f>
        <v>2573.5457140057606</v>
      </c>
      <c r="D27" s="138">
        <f t="shared" ref="D27:G27" si="4">SUM(D28:D31)</f>
        <v>2573.5457140057606</v>
      </c>
      <c r="E27" s="138">
        <f t="shared" si="4"/>
        <v>2573.5457140057606</v>
      </c>
      <c r="F27" s="138">
        <f t="shared" si="4"/>
        <v>2573.5457140057606</v>
      </c>
      <c r="G27" s="138">
        <f t="shared" si="4"/>
        <v>2573.5457140057606</v>
      </c>
      <c r="H27" s="142"/>
    </row>
    <row r="28" spans="1:8" s="140" customFormat="1" ht="12" x14ac:dyDescent="0.25">
      <c r="A28" s="141"/>
      <c r="B28" s="146" t="s">
        <v>126</v>
      </c>
      <c r="C28" s="147">
        <f>+Annuitätenplan!D10</f>
        <v>0</v>
      </c>
      <c r="D28" s="147">
        <f>+Annuitätenplan!E10</f>
        <v>0</v>
      </c>
      <c r="E28" s="147">
        <f>+Annuitätenplan!F10</f>
        <v>0</v>
      </c>
      <c r="F28" s="147">
        <f>+Annuitätenplan!G10</f>
        <v>0</v>
      </c>
      <c r="G28" s="147">
        <f>+Annuitätenplan!H10</f>
        <v>0</v>
      </c>
      <c r="H28" s="144"/>
    </row>
    <row r="29" spans="1:8" s="140" customFormat="1" ht="12" x14ac:dyDescent="0.25">
      <c r="A29" s="141"/>
      <c r="B29" s="146" t="s">
        <v>127</v>
      </c>
      <c r="C29" s="147">
        <f>+Annuitätenplan!D11</f>
        <v>0</v>
      </c>
      <c r="D29" s="147">
        <f>+Annuitätenplan!E11</f>
        <v>0</v>
      </c>
      <c r="E29" s="147">
        <f>+Annuitätenplan!F11</f>
        <v>0</v>
      </c>
      <c r="F29" s="147">
        <f>+Annuitätenplan!G11</f>
        <v>0</v>
      </c>
      <c r="G29" s="147">
        <f>+Annuitätenplan!H11</f>
        <v>0</v>
      </c>
      <c r="H29" s="144"/>
    </row>
    <row r="30" spans="1:8" s="140" customFormat="1" ht="12" x14ac:dyDescent="0.25">
      <c r="A30" s="141"/>
      <c r="B30" s="146" t="s">
        <v>128</v>
      </c>
      <c r="C30" s="147">
        <f>+Annuitätenplan!D22</f>
        <v>1883.5457140057606</v>
      </c>
      <c r="D30" s="147">
        <f>+Annuitätenplan!E22</f>
        <v>1940.0520854259335</v>
      </c>
      <c r="E30" s="147">
        <f>+Annuitätenplan!F22</f>
        <v>1998.2536479887115</v>
      </c>
      <c r="F30" s="147">
        <f>+Annuitätenplan!G22</f>
        <v>2058.2012574283726</v>
      </c>
      <c r="G30" s="147">
        <f>+Annuitätenplan!H22</f>
        <v>2119.9472951512239</v>
      </c>
      <c r="H30" s="144"/>
    </row>
    <row r="31" spans="1:8" s="140" customFormat="1" ht="12" x14ac:dyDescent="0.25">
      <c r="A31" s="141"/>
      <c r="B31" s="146" t="s">
        <v>129</v>
      </c>
      <c r="C31" s="147">
        <f>+Annuitätenplan!D18+Annuitätenplan!D28</f>
        <v>690</v>
      </c>
      <c r="D31" s="147">
        <f>+Annuitätenplan!E18+Annuitätenplan!E28</f>
        <v>633.49362857982715</v>
      </c>
      <c r="E31" s="147">
        <f>+Annuitätenplan!F18+Annuitätenplan!F28</f>
        <v>575.29206601704914</v>
      </c>
      <c r="F31" s="147">
        <f>+Annuitätenplan!G18+Annuitätenplan!G28</f>
        <v>515.34445657738775</v>
      </c>
      <c r="G31" s="147">
        <f>+Annuitätenplan!H18+Annuitätenplan!H28</f>
        <v>453.59841885453665</v>
      </c>
      <c r="H31" s="144"/>
    </row>
    <row r="32" spans="1:8" s="71" customFormat="1" x14ac:dyDescent="0.3">
      <c r="A32" s="370"/>
      <c r="B32" s="371" t="s">
        <v>130</v>
      </c>
      <c r="C32" s="372">
        <f>+C18+C23+C27</f>
        <v>32601.045714005762</v>
      </c>
      <c r="D32" s="372">
        <f t="shared" ref="D32:G32" si="5">+D18+D23+D27</f>
        <v>10752.672306860804</v>
      </c>
      <c r="E32" s="372">
        <f t="shared" si="5"/>
        <v>12779.722697501498</v>
      </c>
      <c r="F32" s="372">
        <f t="shared" si="5"/>
        <v>15182.209599861413</v>
      </c>
      <c r="G32" s="372">
        <f t="shared" si="5"/>
        <v>19635.146109292124</v>
      </c>
      <c r="H32" s="393"/>
    </row>
    <row r="33" spans="1:8" ht="5.25" customHeight="1" x14ac:dyDescent="0.3">
      <c r="A33" s="121"/>
      <c r="B33" s="60"/>
      <c r="C33" s="122"/>
      <c r="D33" s="122"/>
      <c r="E33" s="122"/>
      <c r="F33" s="122"/>
      <c r="G33" s="122"/>
      <c r="H33" s="142"/>
    </row>
    <row r="34" spans="1:8" s="1" customFormat="1" ht="15.6" x14ac:dyDescent="0.3">
      <c r="A34" s="396"/>
      <c r="B34" s="397" t="s">
        <v>109</v>
      </c>
      <c r="C34" s="398">
        <f>+C16-C32</f>
        <v>9398.9542859942376</v>
      </c>
      <c r="D34" s="398">
        <f t="shared" ref="D34:G34" si="6">+D16-D32</f>
        <v>3247.3276931391956</v>
      </c>
      <c r="E34" s="398">
        <f t="shared" si="6"/>
        <v>5220.2773024985017</v>
      </c>
      <c r="F34" s="398">
        <f t="shared" si="6"/>
        <v>6817.7904001385868</v>
      </c>
      <c r="G34" s="398">
        <f t="shared" si="6"/>
        <v>10364.853890707876</v>
      </c>
      <c r="H34" s="399"/>
    </row>
    <row r="35" spans="1:8" ht="15" thickBot="1" x14ac:dyDescent="0.35">
      <c r="A35" s="400"/>
      <c r="B35" s="401" t="s">
        <v>131</v>
      </c>
      <c r="C35" s="402">
        <f>+C34</f>
        <v>9398.9542859942376</v>
      </c>
      <c r="D35" s="402">
        <f>+C35+D34</f>
        <v>12646.281979133433</v>
      </c>
      <c r="E35" s="402">
        <f t="shared" ref="E35:G35" si="7">+D35+E34</f>
        <v>17866.559281631933</v>
      </c>
      <c r="F35" s="402">
        <f t="shared" si="7"/>
        <v>24684.34968177052</v>
      </c>
      <c r="G35" s="402">
        <f t="shared" si="7"/>
        <v>35049.203572478393</v>
      </c>
      <c r="H35" s="403"/>
    </row>
    <row r="36" spans="1:8" ht="9.75" customHeight="1" thickTop="1" x14ac:dyDescent="0.3">
      <c r="A36" s="121"/>
      <c r="B36" s="60"/>
      <c r="C36" s="160" t="str">
        <f>+IF(ROUND(SUM(C37:C39),0)=ROUND(C34,0),"","ACHTUNG!")</f>
        <v/>
      </c>
      <c r="D36" s="160" t="str">
        <f t="shared" ref="D36:G36" si="8">+IF(ROUND(SUM(D37:D39),0)=ROUND(D34,0),"","ACHTUNG!")</f>
        <v/>
      </c>
      <c r="E36" s="160" t="str">
        <f t="shared" si="8"/>
        <v/>
      </c>
      <c r="F36" s="160" t="str">
        <f t="shared" si="8"/>
        <v/>
      </c>
      <c r="G36" s="160" t="str">
        <f t="shared" si="8"/>
        <v/>
      </c>
      <c r="H36" s="142"/>
    </row>
    <row r="37" spans="1:8" s="145" customFormat="1" ht="13.8" x14ac:dyDescent="0.3">
      <c r="A37" s="148"/>
      <c r="B37" s="149" t="s">
        <v>137</v>
      </c>
      <c r="C37" s="154">
        <f>+C7-C18</f>
        <v>4972.5</v>
      </c>
      <c r="D37" s="154">
        <f t="shared" ref="D37:G37" si="9">+D7-D18</f>
        <v>5820.8734071449562</v>
      </c>
      <c r="E37" s="154">
        <f t="shared" si="9"/>
        <v>7793.8230165042623</v>
      </c>
      <c r="F37" s="154">
        <f t="shared" si="9"/>
        <v>9391.3361141443474</v>
      </c>
      <c r="G37" s="154">
        <f t="shared" si="9"/>
        <v>12938.399604713635</v>
      </c>
      <c r="H37" s="155"/>
    </row>
    <row r="38" spans="1:8" s="145" customFormat="1" ht="13.8" x14ac:dyDescent="0.3">
      <c r="A38" s="150"/>
      <c r="B38" s="151" t="s">
        <v>138</v>
      </c>
      <c r="C38" s="156">
        <f>+C9-C23</f>
        <v>-25000</v>
      </c>
      <c r="D38" s="156">
        <f t="shared" ref="D38:G38" si="10">+D9-D23</f>
        <v>0</v>
      </c>
      <c r="E38" s="156">
        <f t="shared" si="10"/>
        <v>0</v>
      </c>
      <c r="F38" s="156">
        <f t="shared" si="10"/>
        <v>0</v>
      </c>
      <c r="G38" s="156">
        <f t="shared" si="10"/>
        <v>0</v>
      </c>
      <c r="H38" s="157"/>
    </row>
    <row r="39" spans="1:8" s="145" customFormat="1" ht="13.8" x14ac:dyDescent="0.3">
      <c r="A39" s="152"/>
      <c r="B39" s="153" t="s">
        <v>139</v>
      </c>
      <c r="C39" s="158">
        <f>+C11-C27</f>
        <v>29426.454285994238</v>
      </c>
      <c r="D39" s="158">
        <f>+D11-D27</f>
        <v>-2573.5457140057606</v>
      </c>
      <c r="E39" s="158">
        <f t="shared" ref="E39:G39" si="11">+E11-E27</f>
        <v>-2573.5457140057606</v>
      </c>
      <c r="F39" s="158">
        <f t="shared" si="11"/>
        <v>-2573.5457140057606</v>
      </c>
      <c r="G39" s="158">
        <f t="shared" si="11"/>
        <v>-2573.5457140057606</v>
      </c>
      <c r="H39" s="159"/>
    </row>
  </sheetData>
  <sheetProtection algorithmName="SHA-512" hashValue="nKQB5ARGSqVMxaYBAabZBd5OSOZP66yfCyEQYdv8omz95zThQBTYAMnRpOpFO2pGXUItWDVQSUe+RbHNW+8nbg==" saltValue="yHtmp9CXmalrDBr2YW8CvA==" spinCount="100000" sheet="1" selectLockedCells="1"/>
  <mergeCells count="2">
    <mergeCell ref="C3:F3"/>
    <mergeCell ref="C4:F4"/>
  </mergeCells>
  <conditionalFormatting sqref="C36:G36">
    <cfRule type="containsText" dxfId="1" priority="1" operator="containsText" text="ACHTUNG!">
      <formula>NOT(ISERROR(SEARCH("ACHTUNG!",C36)))</formula>
    </cfRule>
    <cfRule type="cellIs" dxfId="0" priority="2" operator="equal">
      <formula>"""ACHTUNG!"""</formula>
    </cfRule>
  </conditionalFormatting>
  <pageMargins left="0.59055118110236227" right="0.59055118110236227" top="1.3779527559055118" bottom="0.39370078740157483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1"/>
  <sheetViews>
    <sheetView showGridLines="0" zoomScaleNormal="100" workbookViewId="0"/>
  </sheetViews>
  <sheetFormatPr baseColWidth="10" defaultColWidth="11.5546875" defaultRowHeight="14.4" x14ac:dyDescent="0.3"/>
  <cols>
    <col min="1" max="1" width="3.6640625" style="17" bestFit="1" customWidth="1"/>
    <col min="2" max="2" width="46.33203125" customWidth="1"/>
    <col min="3" max="3" width="15.5546875" customWidth="1"/>
    <col min="4" max="4" width="20.33203125" customWidth="1"/>
    <col min="5" max="5" width="23" customWidth="1"/>
    <col min="6" max="6" width="1" customWidth="1"/>
    <col min="7" max="7" width="16.33203125" customWidth="1"/>
    <col min="8" max="8" width="7.88671875" customWidth="1"/>
  </cols>
  <sheetData>
    <row r="1" spans="1:8" s="115" customFormat="1" ht="23.4" x14ac:dyDescent="0.45">
      <c r="A1" s="114" t="s">
        <v>135</v>
      </c>
      <c r="B1" s="113" t="s">
        <v>162</v>
      </c>
      <c r="C1" s="113"/>
      <c r="D1" s="113"/>
      <c r="E1" s="113"/>
      <c r="F1" s="113"/>
      <c r="G1" s="113"/>
      <c r="H1" s="174"/>
    </row>
    <row r="2" spans="1:8" ht="5.4" customHeight="1" x14ac:dyDescent="0.3">
      <c r="A2" s="327"/>
      <c r="B2" s="63"/>
      <c r="C2" s="63"/>
      <c r="D2" s="63"/>
      <c r="E2" s="63"/>
      <c r="F2" s="63"/>
      <c r="G2" s="63"/>
    </row>
    <row r="3" spans="1:8" s="1" customFormat="1" ht="15.6" x14ac:dyDescent="0.3">
      <c r="A3" s="328"/>
      <c r="B3" s="329" t="s">
        <v>2</v>
      </c>
      <c r="C3" s="419" t="str">
        <f>+Datenblatt!D3</f>
        <v>Muster eGen</v>
      </c>
      <c r="D3" s="419"/>
      <c r="E3" s="419"/>
      <c r="F3" s="419"/>
      <c r="G3" s="380">
        <f ca="1">TODAY()</f>
        <v>45170</v>
      </c>
      <c r="H3" s="381"/>
    </row>
    <row r="4" spans="1:8" s="1" customFormat="1" ht="15.6" x14ac:dyDescent="0.3">
      <c r="A4" s="50"/>
      <c r="B4" s="51" t="s">
        <v>3</v>
      </c>
      <c r="C4" s="421" t="str">
        <f>+Datenblatt!D4</f>
        <v>PLZ Ort, Straße Nr.</v>
      </c>
      <c r="D4" s="421"/>
      <c r="E4" s="421"/>
      <c r="F4" s="421"/>
      <c r="G4" s="51"/>
      <c r="H4" s="12"/>
    </row>
    <row r="5" spans="1:8" ht="5.4" customHeight="1" x14ac:dyDescent="0.3">
      <c r="A5" s="178"/>
      <c r="B5" s="179"/>
      <c r="C5" s="179"/>
      <c r="D5" s="179"/>
      <c r="E5" s="179"/>
      <c r="F5" s="180"/>
      <c r="G5" s="179"/>
      <c r="H5" s="181"/>
    </row>
    <row r="6" spans="1:8" s="172" customFormat="1" ht="15.45" customHeight="1" x14ac:dyDescent="0.3">
      <c r="A6" s="182"/>
      <c r="B6" s="183"/>
      <c r="C6" s="184">
        <f ca="1">YEAR(G3)</f>
        <v>2023</v>
      </c>
      <c r="D6" s="184">
        <f ca="1">+C6+1</f>
        <v>2024</v>
      </c>
      <c r="E6" s="184">
        <f t="shared" ref="E6:G6" ca="1" si="0">+D6+1</f>
        <v>2025</v>
      </c>
      <c r="F6" s="184">
        <f t="shared" ca="1" si="0"/>
        <v>2026</v>
      </c>
      <c r="G6" s="184">
        <f t="shared" ca="1" si="0"/>
        <v>2027</v>
      </c>
      <c r="H6" s="185"/>
    </row>
    <row r="7" spans="1:8" s="168" customFormat="1" ht="15.45" customHeight="1" x14ac:dyDescent="0.3">
      <c r="A7" s="186"/>
      <c r="B7" s="187" t="s">
        <v>136</v>
      </c>
      <c r="C7" s="188">
        <f>+Liquiditätsplan!C35</f>
        <v>9398.9542859942376</v>
      </c>
      <c r="D7" s="188">
        <f>+Liquiditätsplan!D35</f>
        <v>12646.281979133433</v>
      </c>
      <c r="E7" s="188">
        <f>+Liquiditätsplan!E35</f>
        <v>17866.559281631933</v>
      </c>
      <c r="F7" s="188">
        <f>+Liquiditätsplan!F35</f>
        <v>24684.34968177052</v>
      </c>
      <c r="G7" s="188">
        <f>+Liquiditätsplan!G35</f>
        <v>35049.203572478393</v>
      </c>
      <c r="H7" s="177"/>
    </row>
    <row r="8" spans="1:8" s="168" customFormat="1" ht="15.45" customHeight="1" x14ac:dyDescent="0.3">
      <c r="A8" s="186"/>
      <c r="B8" s="187" t="str">
        <f>+Liquiditätsplan!B37</f>
        <v>Geldfluss aus betrieblicher Tätigkeit</v>
      </c>
      <c r="C8" s="188">
        <f>+Liquiditätsplan!C37</f>
        <v>4972.5</v>
      </c>
      <c r="D8" s="188">
        <f>+Liquiditätsplan!D37</f>
        <v>5820.8734071449562</v>
      </c>
      <c r="E8" s="188">
        <f>+Liquiditätsplan!E37</f>
        <v>7793.8230165042623</v>
      </c>
      <c r="F8" s="188">
        <f>+Liquiditätsplan!F37</f>
        <v>9391.3361141443474</v>
      </c>
      <c r="G8" s="188">
        <f>+Liquiditätsplan!G37</f>
        <v>12938.399604713635</v>
      </c>
      <c r="H8" s="177"/>
    </row>
    <row r="9" spans="1:8" s="169" customFormat="1" ht="15.45" customHeight="1" x14ac:dyDescent="0.3">
      <c r="A9" s="186"/>
      <c r="B9" s="187" t="str">
        <f>+Liquiditätsplan!B38</f>
        <v>Geldfluss aus Investitionstätigkeit</v>
      </c>
      <c r="C9" s="188">
        <f>+Liquiditätsplan!C38</f>
        <v>-25000</v>
      </c>
      <c r="D9" s="188">
        <f>+Liquiditätsplan!D38</f>
        <v>0</v>
      </c>
      <c r="E9" s="188">
        <f>+Liquiditätsplan!E38</f>
        <v>0</v>
      </c>
      <c r="F9" s="188">
        <f>+Liquiditätsplan!F38</f>
        <v>0</v>
      </c>
      <c r="G9" s="188">
        <f>+Liquiditätsplan!G38</f>
        <v>0</v>
      </c>
      <c r="H9" s="177"/>
    </row>
    <row r="10" spans="1:8" s="168" customFormat="1" ht="15.45" customHeight="1" x14ac:dyDescent="0.3">
      <c r="A10" s="186"/>
      <c r="B10" s="187" t="str">
        <f>+Liquiditätsplan!B39</f>
        <v>Geldfluss aus Finanzierungstätigkeit</v>
      </c>
      <c r="C10" s="188">
        <f>+Liquiditätsplan!C39</f>
        <v>29426.454285994238</v>
      </c>
      <c r="D10" s="188">
        <f>+Liquiditätsplan!D39</f>
        <v>-2573.5457140057606</v>
      </c>
      <c r="E10" s="188">
        <f>+Liquiditätsplan!E39</f>
        <v>-2573.5457140057606</v>
      </c>
      <c r="F10" s="188">
        <f>+Liquiditätsplan!F39</f>
        <v>-2573.5457140057606</v>
      </c>
      <c r="G10" s="188">
        <f>+Liquiditätsplan!G39</f>
        <v>-2573.5457140057606</v>
      </c>
      <c r="H10" s="177"/>
    </row>
    <row r="11" spans="1:8" s="173" customFormat="1" ht="15.45" customHeight="1" x14ac:dyDescent="0.3">
      <c r="A11" s="182"/>
      <c r="B11" s="189"/>
      <c r="C11" s="184">
        <f ca="1">+C6</f>
        <v>2023</v>
      </c>
      <c r="D11" s="184">
        <f t="shared" ref="D11:G11" ca="1" si="1">+D6</f>
        <v>2024</v>
      </c>
      <c r="E11" s="184">
        <f t="shared" ca="1" si="1"/>
        <v>2025</v>
      </c>
      <c r="F11" s="184">
        <f t="shared" ca="1" si="1"/>
        <v>2026</v>
      </c>
      <c r="G11" s="184">
        <f t="shared" ca="1" si="1"/>
        <v>2027</v>
      </c>
      <c r="H11" s="185"/>
    </row>
    <row r="12" spans="1:8" s="170" customFormat="1" ht="15.45" customHeight="1" x14ac:dyDescent="0.25">
      <c r="A12" s="186"/>
      <c r="B12" s="190" t="s">
        <v>96</v>
      </c>
      <c r="C12" s="188">
        <f>+Wirtschaftlichkeit!C7</f>
        <v>10000</v>
      </c>
      <c r="D12" s="188">
        <f>+Wirtschaftlichkeit!E7</f>
        <v>14000</v>
      </c>
      <c r="E12" s="188">
        <f>+Wirtschaftlichkeit!G7</f>
        <v>18000</v>
      </c>
      <c r="F12" s="188">
        <f>+Wirtschaftlichkeit!I7</f>
        <v>22000</v>
      </c>
      <c r="G12" s="188">
        <f>+Wirtschaftlichkeit!K7</f>
        <v>30000</v>
      </c>
      <c r="H12" s="177"/>
    </row>
    <row r="13" spans="1:8" s="170" customFormat="1" ht="15.45" customHeight="1" x14ac:dyDescent="0.25">
      <c r="A13" s="186"/>
      <c r="B13" s="190" t="s">
        <v>99</v>
      </c>
      <c r="C13" s="188">
        <f>+Wirtschaftlichkeit!C11</f>
        <v>7300</v>
      </c>
      <c r="D13" s="188">
        <f>+Wirtschaftlichkeit!E11</f>
        <v>9950</v>
      </c>
      <c r="E13" s="188">
        <f>+Wirtschaftlichkeit!G11</f>
        <v>12600</v>
      </c>
      <c r="F13" s="188">
        <f>+Wirtschaftlichkeit!I11</f>
        <v>15250</v>
      </c>
      <c r="G13" s="188">
        <f>+Wirtschaftlichkeit!K11</f>
        <v>20000</v>
      </c>
      <c r="H13" s="177"/>
    </row>
    <row r="14" spans="1:8" s="170" customFormat="1" ht="15.45" customHeight="1" x14ac:dyDescent="0.25">
      <c r="A14" s="186"/>
      <c r="B14" s="190" t="s">
        <v>158</v>
      </c>
      <c r="C14" s="188">
        <f>+Wirtschaftlichkeit!C35</f>
        <v>1310</v>
      </c>
      <c r="D14" s="188">
        <f>+Wirtschaftlichkeit!E35</f>
        <v>2516.5063714201729</v>
      </c>
      <c r="E14" s="188">
        <f>+Wirtschaftlichkeit!G35</f>
        <v>5224.7079339829506</v>
      </c>
      <c r="F14" s="188">
        <f>+Wirtschaftlichkeit!I35</f>
        <v>7434.655543422612</v>
      </c>
      <c r="G14" s="188">
        <f>+Wirtschaftlichkeit!K35</f>
        <v>12246.401581145463</v>
      </c>
      <c r="H14" s="177"/>
    </row>
    <row r="15" spans="1:8" s="170" customFormat="1" ht="15.45" customHeight="1" x14ac:dyDescent="0.25">
      <c r="A15" s="186"/>
      <c r="B15" s="190" t="s">
        <v>140</v>
      </c>
      <c r="C15" s="175">
        <f>+Wirtschaftlichkeit!D11</f>
        <v>0.73</v>
      </c>
      <c r="D15" s="175">
        <f>+Wirtschaftlichkeit!F11</f>
        <v>0.71071428571428574</v>
      </c>
      <c r="E15" s="191">
        <f>+Wirtschaftlichkeit!H11</f>
        <v>0.7</v>
      </c>
      <c r="F15" s="191">
        <f>+Wirtschaftlichkeit!J11</f>
        <v>0.69318181818181823</v>
      </c>
      <c r="G15" s="191">
        <f>+Wirtschaftlichkeit!L11</f>
        <v>0.66666666666666663</v>
      </c>
      <c r="H15" s="177"/>
    </row>
    <row r="16" spans="1:8" s="170" customFormat="1" ht="15.45" customHeight="1" x14ac:dyDescent="0.25">
      <c r="A16" s="186"/>
      <c r="B16" s="190"/>
      <c r="C16" s="176"/>
      <c r="D16" s="205"/>
      <c r="E16" s="213"/>
      <c r="F16" s="213"/>
      <c r="G16" s="210" t="s">
        <v>145</v>
      </c>
      <c r="H16" s="211">
        <f>+AVERAGE(C27:G27)</f>
        <v>0.44083514812511443</v>
      </c>
    </row>
    <row r="17" spans="1:8" s="169" customFormat="1" ht="15.45" customHeight="1" x14ac:dyDescent="0.3">
      <c r="A17" s="186"/>
      <c r="B17" s="192" t="s">
        <v>142</v>
      </c>
      <c r="C17" s="193">
        <f>+Finanzierungsplan!D7</f>
        <v>10000</v>
      </c>
      <c r="D17" s="206"/>
      <c r="E17" s="213"/>
      <c r="F17" s="213"/>
      <c r="G17" s="210" t="s">
        <v>146</v>
      </c>
      <c r="H17" s="211">
        <f>+AVERAGE(C28:G28)</f>
        <v>0.24812496167209233</v>
      </c>
    </row>
    <row r="18" spans="1:8" s="168" customFormat="1" ht="15.45" customHeight="1" x14ac:dyDescent="0.3">
      <c r="A18" s="186"/>
      <c r="B18" s="192" t="s">
        <v>120</v>
      </c>
      <c r="C18" s="193">
        <f>+Finanzierungsplan!D8</f>
        <v>2000</v>
      </c>
      <c r="D18" s="207"/>
      <c r="E18" s="213"/>
      <c r="F18" s="214"/>
      <c r="G18" s="210" t="s">
        <v>147</v>
      </c>
      <c r="H18" s="212">
        <f>+AVERAGE(C29:G29)</f>
        <v>1.2329472938165456</v>
      </c>
    </row>
    <row r="19" spans="1:8" s="169" customFormat="1" ht="16.95" customHeight="1" x14ac:dyDescent="0.3">
      <c r="A19" s="186"/>
      <c r="B19" s="192" t="s">
        <v>143</v>
      </c>
      <c r="C19" s="193">
        <f>+Finanzierungsplan!D9</f>
        <v>8000</v>
      </c>
      <c r="D19" s="176"/>
      <c r="E19" s="176"/>
      <c r="F19" s="176"/>
      <c r="G19" s="176"/>
      <c r="H19" s="177"/>
    </row>
    <row r="20" spans="1:8" s="140" customFormat="1" ht="15.45" customHeight="1" x14ac:dyDescent="0.25">
      <c r="A20" s="194"/>
      <c r="B20" s="195" t="s">
        <v>141</v>
      </c>
      <c r="C20" s="193">
        <f>+Finanzierungsplan!D13</f>
        <v>12000</v>
      </c>
      <c r="D20" s="196"/>
      <c r="E20" s="196"/>
      <c r="F20" s="196"/>
      <c r="G20" s="196"/>
      <c r="H20" s="197"/>
    </row>
    <row r="21" spans="1:8" s="3" customFormat="1" ht="15.45" customHeight="1" x14ac:dyDescent="0.3">
      <c r="A21" s="194"/>
      <c r="B21" s="192" t="str">
        <f>"Ø "&amp;Liquiditätsplan!B19</f>
        <v>Ø Material / bezogene Leistungen</v>
      </c>
      <c r="C21" s="193">
        <f>+AVERAGE(Liquiditätsplan!C19:G19)</f>
        <v>5780</v>
      </c>
      <c r="D21" s="192"/>
      <c r="E21" s="192"/>
      <c r="F21" s="192"/>
      <c r="G21" s="192"/>
      <c r="H21" s="197"/>
    </row>
    <row r="22" spans="1:8" s="71" customFormat="1" ht="15.45" customHeight="1" x14ac:dyDescent="0.3">
      <c r="A22" s="194"/>
      <c r="B22" s="192" t="str">
        <f>"Ø "&amp;Liquiditätsplan!B20</f>
        <v>Ø Personal</v>
      </c>
      <c r="C22" s="193">
        <f>+AVERAGE(Liquiditätsplan!C20:G20)</f>
        <v>2200</v>
      </c>
      <c r="D22" s="198"/>
      <c r="E22" s="198"/>
      <c r="F22" s="198"/>
      <c r="G22" s="198"/>
      <c r="H22" s="197"/>
    </row>
    <row r="23" spans="1:8" s="71" customFormat="1" ht="15.45" customHeight="1" x14ac:dyDescent="0.3">
      <c r="A23" s="194"/>
      <c r="B23" s="192" t="str">
        <f>"Ø "&amp;Wirtschaftlichkeit!B18</f>
        <v>Ø Abschreibungen</v>
      </c>
      <c r="C23" s="193">
        <f>+AVERAGE(Wirtschaftlichkeit!C18,Wirtschaftlichkeit!E18,Wirtschaftlichkeit!G18,Wirtschaftlichkeit!I18,Wirtschaftlichkeit!K18)</f>
        <v>3500</v>
      </c>
      <c r="D23" s="198"/>
      <c r="E23" s="198"/>
      <c r="F23" s="198"/>
      <c r="G23" s="198"/>
      <c r="H23" s="197"/>
    </row>
    <row r="24" spans="1:8" s="71" customFormat="1" ht="15.45" customHeight="1" x14ac:dyDescent="0.3">
      <c r="A24" s="194"/>
      <c r="B24" s="192" t="str">
        <f>"Ø "&amp;"Zinsen"</f>
        <v>Ø Zinsen</v>
      </c>
      <c r="C24" s="193">
        <f>+AVERAGE(Liquiditätsplan!C31:G31)</f>
        <v>573.54571400576015</v>
      </c>
      <c r="D24" s="198"/>
      <c r="E24" s="198"/>
      <c r="F24" s="198"/>
      <c r="G24" s="198"/>
      <c r="H24" s="197"/>
    </row>
    <row r="25" spans="1:8" s="140" customFormat="1" ht="15.45" customHeight="1" x14ac:dyDescent="0.25">
      <c r="A25" s="194"/>
      <c r="B25" s="192" t="str">
        <f>"Ø "&amp;Wirtschaftlichkeit!B19</f>
        <v>Ø Sonstige Aufwendungen</v>
      </c>
      <c r="C25" s="193">
        <f>+AVERAGE(Wirtschaftlichkeit!C19,Wirtschaftlichkeit!E19,Wirtschaftlichkeit!G19,Wirtschaftlichkeit!I19,Wirtschaftlichkeit!K19)</f>
        <v>1200</v>
      </c>
      <c r="D25" s="198"/>
      <c r="E25" s="198"/>
      <c r="F25" s="198"/>
      <c r="G25" s="198"/>
      <c r="H25" s="197"/>
    </row>
    <row r="26" spans="1:8" s="71" customFormat="1" ht="15.45" customHeight="1" x14ac:dyDescent="0.3">
      <c r="A26" s="194"/>
      <c r="B26" s="199"/>
      <c r="C26" s="198"/>
      <c r="D26" s="198"/>
      <c r="E26" s="198"/>
      <c r="F26" s="198"/>
      <c r="G26" s="198"/>
      <c r="H26" s="197"/>
    </row>
    <row r="27" spans="1:8" ht="15.45" customHeight="1" x14ac:dyDescent="0.3">
      <c r="A27" s="194"/>
      <c r="B27" s="176" t="s">
        <v>145</v>
      </c>
      <c r="C27" s="208">
        <f>+Liquiditätsplan!C37/Wirtschaftlichkeit!C7</f>
        <v>0.49725000000000003</v>
      </c>
      <c r="D27" s="208">
        <f>+Liquiditätsplan!D37/Wirtschaftlichkeit!E7</f>
        <v>0.41577667193892542</v>
      </c>
      <c r="E27" s="208">
        <f>+Liquiditätsplan!E37/Wirtschaftlichkeit!G7</f>
        <v>0.43299016758357012</v>
      </c>
      <c r="F27" s="208">
        <f>+Liquiditätsplan!F37/Wirtschaftlichkeit!I7</f>
        <v>0.42687891427928853</v>
      </c>
      <c r="G27" s="208">
        <f>+Liquiditätsplan!G37/Wirtschaftlichkeit!K7</f>
        <v>0.43127998682378782</v>
      </c>
      <c r="H27" s="197"/>
    </row>
    <row r="28" spans="1:8" s="1" customFormat="1" ht="15.45" customHeight="1" x14ac:dyDescent="0.3">
      <c r="A28" s="194"/>
      <c r="B28" s="176" t="s">
        <v>146</v>
      </c>
      <c r="C28" s="208">
        <f>+Wirtschaftlichkeit!C35/(Annuitätenplan!D12+Finanzierungsplan!D8-Wirtschaftlichkeit!C13+Finanzierungsplan!D9+Finanzierungsplan!D13-Finanzierungsplan!F20)</f>
        <v>4.3788611694310739E-2</v>
      </c>
      <c r="D28" s="209">
        <f>+Wirtschaftlichkeit!E35/(Annuitätenplan!E12+Finanzierungsplan!D8-Wirtschaftlichkeit!C13-Wirtschaftlichkeit!E13+Finanzierungsplan!D9+Finanzierungsplan!D13-Finanzierungsplan!F20-Finanzierungsplan!F21)</f>
        <v>9.0598715890162523E-2</v>
      </c>
      <c r="E28" s="209">
        <f>+Wirtschaftlichkeit!G35/(Annuitätenplan!F12+Finanzierungsplan!D8-Wirtschaftlichkeit!C13-Wirtschaftlichkeit!E13-Wirtschaftlichkeit!G13+Finanzierungsplan!D9+Finanzierungsplan!D13-Finanzierungsplan!F20-Finanzierungsplan!F21-Finanzierungsplan!F22)</f>
        <v>0.20426450816965139</v>
      </c>
      <c r="F28" s="209">
        <f>+Wirtschaftlichkeit!I35/(Annuitätenplan!G12+Finanzierungsplan!D8-Wirtschaftlichkeit!C13-Wirtschaftlichkeit!E13-Wirtschaftlichkeit!G13-Wirtschaftlichkeit!I13+Finanzierungsplan!D9+Finanzierungsplan!D13-Finanzierungsplan!F20-Finanzierungsplan!F21-Finanzierungsplan!F22-Finanzierungsplan!F23)</f>
        <v>0.31881099255179091</v>
      </c>
      <c r="G28" s="209">
        <f>+Wirtschaftlichkeit!K35/(Annuitätenplan!H12+Finanzierungsplan!D8-Wirtschaftlichkeit!C13-Wirtschaftlichkeit!E13-Wirtschaftlichkeit!G13-Wirtschaftlichkeit!I13-Wirtschaftlichkeit!K13+Finanzierungsplan!D9+Finanzierungsplan!D13-Finanzierungsplan!F20-Finanzierungsplan!F21-Finanzierungsplan!F22-Finanzierungsplan!F23-Finanzierungsplan!F24)</f>
        <v>0.583161980054546</v>
      </c>
      <c r="H28" s="197"/>
    </row>
    <row r="29" spans="1:8" ht="15.45" customHeight="1" x14ac:dyDescent="0.3">
      <c r="A29" s="194"/>
      <c r="B29" s="176" t="s">
        <v>147</v>
      </c>
      <c r="C29" s="176">
        <f>+(Finanzierungsplan!D9+Finanzierungsplan!D13-Finanzierungsplan!F20)/(Annuitätenplan!D12+Finanzierungsplan!D8-Wirtschaftlichkeit!C13)</f>
        <v>1.5352927361012065</v>
      </c>
      <c r="D29" s="200">
        <f>+(Finanzierungsplan!D9+Finanzierungsplan!D13-Finanzierungsplan!F20-Finanzierungsplan!F21)/(Annuitätenplan!E12+Finanzierungsplan!D8-Wirtschaftlichkeit!C13-Wirtschaftlichkeit!E13)</f>
        <v>1.3945174310834745</v>
      </c>
      <c r="E29" s="200">
        <f>+(Finanzierungsplan!D9+Finanzierungsplan!D13-Finanzierungsplan!F20-Finanzierungsplan!F21-Finanzierungsplan!F22)/(Annuitätenplan!F12+Finanzierungsplan!D8-Wirtschaftlichkeit!C13-Wirtschaftlichkeit!E13-Wirtschaftlichkeit!G13)</f>
        <v>1.2436972414543501</v>
      </c>
      <c r="F29" s="200">
        <f>+(Finanzierungsplan!D9+Finanzierungsplan!D13-Finanzierungsplan!F20-Finanzierungsplan!F21-Finanzierungsplan!F22-Finanzierungsplan!F23)/(Annuitätenplan!G12+Finanzierungsplan!D8-Wirtschaftlichkeit!C13-Wirtschaftlichkeit!E13-Wirtschaftlichkeit!G13-Wirtschaftlichkeit!I13)</f>
        <v>1.0821381513527875</v>
      </c>
      <c r="G29" s="200">
        <f>+(Finanzierungsplan!D9+Finanzierungsplan!D13-Finanzierungsplan!F20-Finanzierungsplan!F21-Finanzierungsplan!F22-Finanzierungsplan!F23-Finanzierungsplan!F24)/(Annuitätenplan!H12+Finanzierungsplan!D8-Wirtschaftlichkeit!C13-Wirtschaftlichkeit!E13-Wirtschaftlichkeit!G13-Wirtschaftlichkeit!I13-Wirtschaftlichkeit!K13)</f>
        <v>0.90909090909090873</v>
      </c>
      <c r="H29" s="197"/>
    </row>
    <row r="30" spans="1:8" s="145" customFormat="1" ht="15.45" customHeight="1" thickBot="1" x14ac:dyDescent="0.35">
      <c r="A30" s="201"/>
      <c r="B30" s="202"/>
      <c r="C30" s="203"/>
      <c r="D30" s="203"/>
      <c r="E30" s="203"/>
      <c r="F30" s="203"/>
      <c r="G30" s="203"/>
      <c r="H30" s="204"/>
    </row>
    <row r="31" spans="1:8" s="145" customFormat="1" thickTop="1" x14ac:dyDescent="0.3">
      <c r="A31" s="162"/>
      <c r="B31" s="163"/>
      <c r="C31" s="161"/>
      <c r="D31" s="161"/>
      <c r="E31" s="161"/>
      <c r="F31" s="161"/>
      <c r="G31" s="161"/>
      <c r="H31" s="156"/>
    </row>
  </sheetData>
  <sheetProtection password="DCAC" sheet="1" selectLockedCells="1"/>
  <mergeCells count="2">
    <mergeCell ref="C3:F3"/>
    <mergeCell ref="C4:F4"/>
  </mergeCells>
  <pageMargins left="0.59055118110236227" right="0.59055118110236227" top="1.3779527559055118" bottom="0.59055118110236227" header="0.19685039370078741" footer="0.19685039370078741"/>
  <pageSetup paperSize="9" orientation="landscape" r:id="rId1"/>
  <headerFooter>
    <oddHeader>&amp;R&amp;G</oddHeader>
    <oddFooter>&amp;LGründungskonzept - &amp;A&amp;C&amp;D&amp;RSeite &amp;P von &amp;N</oddFooter>
  </headerFooter>
  <ignoredErrors>
    <ignoredError sqref="C24" formula="1"/>
  </ignoredErrors>
  <drawing r:id="rId2"/>
  <legacyDrawingHF r:id="rId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00000000-0003-0000-0700-000000000000}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'Quick Check'!C27:G27</xm:f>
              <xm:sqref>E16</xm:sqref>
            </x14:sparkline>
            <x14:sparkline>
              <xm:f>'Quick Check'!C28:G28</xm:f>
              <xm:sqref>E17</xm:sqref>
            </x14:sparkline>
            <x14:sparkline>
              <xm:f>'Quick Check'!C29:G29</xm:f>
              <xm:sqref>E18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Datenblatt</vt:lpstr>
      <vt:lpstr>Investitionsplan</vt:lpstr>
      <vt:lpstr>AfA</vt:lpstr>
      <vt:lpstr>Finanzierungsplan</vt:lpstr>
      <vt:lpstr>Annuitätenplan</vt:lpstr>
      <vt:lpstr>Wirtschaftlichkeit</vt:lpstr>
      <vt:lpstr>Liquiditätsplan</vt:lpstr>
      <vt:lpstr>Quick Check</vt:lpstr>
    </vt:vector>
  </TitlesOfParts>
  <Company>RRV NÖ-W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Planungsrechnung</dc:title>
  <dc:creator>POMPER Christian</dc:creator>
  <cp:lastModifiedBy>POMPER Christian</cp:lastModifiedBy>
  <cp:lastPrinted>2020-12-29T12:18:42Z</cp:lastPrinted>
  <dcterms:created xsi:type="dcterms:W3CDTF">2020-08-31T13:22:28Z</dcterms:created>
  <dcterms:modified xsi:type="dcterms:W3CDTF">2023-09-01T07:24:40Z</dcterms:modified>
</cp:coreProperties>
</file>